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годження ШР на 2026 рік" sheetId="1" state="visible" r:id="rId2"/>
    <sheet name="Лист2" sheetId="2" state="visible" r:id="rId3"/>
  </sheets>
  <definedNames>
    <definedName function="false" hidden="false" localSheetId="0" name="_xlnm.Print_Area" vbProcedure="false">'погодження ШР на 2026 рік'!$A$8:$V$197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L172" authorId="0">
      <text>
        <r>
          <rPr>
            <sz val="11"/>
            <color rgb="FF000000"/>
            <rFont val="Calibri"/>
            <family val="0"/>
            <charset val="1"/>
          </rPr>
          <t xml:space="preserve">Пользователь Windows:
класность нараховується тільки на оклад!!!! виправити</t>
        </r>
      </text>
    </comment>
    <comment ref="P118" authorId="0">
      <text>
        <r>
          <rPr>
            <sz val="11"/>
            <color rgb="FF000000"/>
            <rFont val="Calibri"/>
            <family val="0"/>
            <charset val="1"/>
          </rPr>
          <t xml:space="preserve">Пользователь Windows:
</t>
        </r>
        <r>
          <rPr>
            <b val="true"/>
            <sz val="9"/>
            <rFont val="Tahoma"/>
            <family val="0"/>
            <charset val="204"/>
          </rPr>
          <t xml:space="preserve">ходят по ночам.!!!!!!!!</t>
        </r>
      </text>
    </comment>
    <comment ref="P172" authorId="0">
      <text>
        <r>
          <rPr>
            <sz val="11"/>
            <color rgb="FF000000"/>
            <rFont val="Calibri"/>
            <family val="0"/>
            <charset val="1"/>
          </rPr>
          <t xml:space="preserve">Пользователь Windows:
</t>
        </r>
      </text>
    </comment>
    <comment ref="Z13" authorId="0">
      <text>
        <r>
          <rPr>
            <sz val="11"/>
            <color rgb="FF000000"/>
            <rFont val="Calibri"/>
            <family val="0"/>
            <charset val="1"/>
          </rPr>
          <t xml:space="preserve">Пользователь Windows:
</t>
        </r>
        <r>
          <rPr>
            <sz val="9"/>
            <rFont val="Tahoma"/>
            <family val="0"/>
            <charset val="1"/>
          </rPr>
          <t xml:space="preserve">фонд 2022 року</t>
        </r>
      </text>
    </comment>
    <comment ref="AH13" authorId="0">
      <text>
        <r>
          <rPr>
            <sz val="11"/>
            <color rgb="FF000000"/>
            <rFont val="Calibri"/>
            <family val="0"/>
            <charset val="1"/>
          </rPr>
          <t xml:space="preserve">Пользователь Windows:
</t>
        </r>
        <r>
          <rPr>
            <sz val="9"/>
            <rFont val="Tahoma"/>
            <family val="0"/>
            <charset val="204"/>
          </rPr>
          <t xml:space="preserve">фонд 2023
</t>
        </r>
      </text>
    </comment>
  </commentList>
</comments>
</file>

<file path=xl/sharedStrings.xml><?xml version="1.0" encoding="utf-8"?>
<sst xmlns="http://schemas.openxmlformats.org/spreadsheetml/2006/main" count="308" uniqueCount="224">
  <si>
    <r>
      <rPr>
        <b val="true"/>
        <sz val="11"/>
        <color rgb="FF000000"/>
        <rFont val="Times New Roman"/>
        <family val="0"/>
        <charset val="204"/>
      </rPr>
      <t xml:space="preserve">ЗАТВЕРДЖЕНО</t>
    </r>
    <r>
      <rPr>
        <sz val="11"/>
        <color rgb="FF000000"/>
        <rFont val="Times New Roman"/>
        <family val="0"/>
        <charset val="204"/>
      </rPr>
      <t xml:space="preserve"> </t>
    </r>
  </si>
  <si>
    <t xml:space="preserve"> МКП "Покроводоканал"</t>
  </si>
  <si>
    <r>
      <rPr>
        <b val="true"/>
        <sz val="11"/>
        <color rgb="FF000000"/>
        <rFont val="Times New Roman"/>
        <family val="0"/>
        <charset val="204"/>
      </rPr>
      <t xml:space="preserve">Наказ Міністерства фінансів</t>
    </r>
    <r>
      <rPr>
        <sz val="11"/>
        <color rgb="FF000000"/>
        <rFont val="Times New Roman"/>
        <family val="0"/>
        <charset val="204"/>
      </rPr>
      <t xml:space="preserve"> України 28.01.2002 № 57 (у редакції наказу Міністерства фінансів України від 26.11.2012 № 1220)</t>
    </r>
  </si>
  <si>
    <t xml:space="preserve">ПОГОДЖЕНО</t>
  </si>
  <si>
    <t xml:space="preserve">ЗАТВЕРДЖУЮ</t>
  </si>
  <si>
    <t xml:space="preserve">Рішення виконавчого комітету </t>
  </si>
  <si>
    <t xml:space="preserve">штат у кількості 203 штатних одиниць з місячним фондом</t>
  </si>
  <si>
    <t xml:space="preserve">Базові розрахунки  посадових окладів, часових тарифних ставок</t>
  </si>
  <si>
    <t xml:space="preserve">Покровської міської ради </t>
  </si>
  <si>
    <t xml:space="preserve">заробітної плати за основними виплатами у розмірі 2006113,79 грн.</t>
  </si>
  <si>
    <t xml:space="preserve">Прожитковий мінімум для працездатних осіб з 01.01. по 30.06.2021р</t>
  </si>
  <si>
    <t xml:space="preserve">грн.</t>
  </si>
  <si>
    <t xml:space="preserve">№____________________</t>
  </si>
  <si>
    <t xml:space="preserve">Директор МКП "Покровводоканал" </t>
  </si>
  <si>
    <t xml:space="preserve">Коефіцієнт співвідношень мінімальної тарифної ставки робітника першого розряду по виду робіт "Експлуатація та обслуговування обладнання систем водозабезпечення та водовідведення"</t>
  </si>
  <si>
    <t xml:space="preserve">"_____"_______________2025 р.</t>
  </si>
  <si>
    <t xml:space="preserve"> ____________________ Віталій ГЛУЩЕНКО</t>
  </si>
  <si>
    <t xml:space="preserve">Відсоток до прожиткового мінімуму</t>
  </si>
  <si>
    <t xml:space="preserve">"______"______________ 2025 р.</t>
  </si>
  <si>
    <t xml:space="preserve">Середньомісячний фонд робочого часу</t>
  </si>
  <si>
    <t xml:space="preserve">год.</t>
  </si>
  <si>
    <r>
      <rPr>
        <b val="true"/>
        <sz val="11"/>
        <color rgb="FF000000"/>
        <rFont val="Times New Roman"/>
        <family val="0"/>
        <charset val="204"/>
      </rPr>
      <t xml:space="preserve"> ШТАТНИЙ РОЗПИС</t>
    </r>
    <r>
      <rPr>
        <sz val="11"/>
        <color rgb="FF000000"/>
        <rFont val="Times New Roman"/>
        <family val="0"/>
        <charset val="204"/>
      </rPr>
      <t xml:space="preserve"> </t>
    </r>
  </si>
  <si>
    <t xml:space="preserve">Таблиця № 1</t>
  </si>
  <si>
    <t xml:space="preserve">на  2026 рік</t>
  </si>
  <si>
    <t xml:space="preserve">Розрахунок часових тарифних ставок робітників</t>
  </si>
  <si>
    <t xml:space="preserve">Вводиться в дію  з 01.01.2026</t>
  </si>
  <si>
    <t xml:space="preserve"> МКП "Покровводоканал"</t>
  </si>
  <si>
    <t xml:space="preserve">Види робіт</t>
  </si>
  <si>
    <t xml:space="preserve">Розряди</t>
  </si>
  <si>
    <t xml:space="preserve">№ з/п</t>
  </si>
  <si>
    <t xml:space="preserve">Назва структурного підрозділу та посад</t>
  </si>
  <si>
    <t xml:space="preserve">Кількість штатних посад</t>
  </si>
  <si>
    <t xml:space="preserve">Розряд, коєфіцієнт до 1-го розряду</t>
  </si>
  <si>
    <t xml:space="preserve">Розрахунок розряду робітників</t>
  </si>
  <si>
    <t xml:space="preserve">Посадовий оклад (грн.)</t>
  </si>
  <si>
    <t xml:space="preserve">Всього основна заробітна плата, грн.</t>
  </si>
  <si>
    <t xml:space="preserve">Доплата за особливі умови праці, грн</t>
  </si>
  <si>
    <t xml:space="preserve">КОЯП/премія</t>
  </si>
  <si>
    <t xml:space="preserve">Надбавки (грн.)</t>
  </si>
  <si>
    <t xml:space="preserve">Доплати (грн.)</t>
  </si>
  <si>
    <t xml:space="preserve">Інші заохочувальні виплати  (грн)</t>
  </si>
  <si>
    <t xml:space="preserve">Фонд заробітної плати на місяць (грн.)</t>
  </si>
  <si>
    <t xml:space="preserve">Фонд заробітної плати </t>
  </si>
  <si>
    <t xml:space="preserve">I</t>
  </si>
  <si>
    <t xml:space="preserve">II</t>
  </si>
  <si>
    <t xml:space="preserve">III</t>
  </si>
  <si>
    <t xml:space="preserve">IV</t>
  </si>
  <si>
    <t xml:space="preserve">V</t>
  </si>
  <si>
    <t xml:space="preserve">VI</t>
  </si>
  <si>
    <t xml:space="preserve">коефіцієнт</t>
  </si>
  <si>
    <t xml:space="preserve">годинна тар. ст.</t>
  </si>
  <si>
    <t xml:space="preserve">сумма, грн.</t>
  </si>
  <si>
    <t xml:space="preserve">За класність водіїв</t>
  </si>
  <si>
    <t xml:space="preserve">За профспілкову роботу</t>
  </si>
  <si>
    <t xml:space="preserve">За високі досягнення в праці</t>
  </si>
  <si>
    <t xml:space="preserve">за роботу у нічний час 35 %</t>
  </si>
  <si>
    <t xml:space="preserve">за роботу у святкові дні</t>
  </si>
  <si>
    <t xml:space="preserve">за ненормований робочий день</t>
  </si>
  <si>
    <t xml:space="preserve">за збільшений обсяг робіт</t>
  </si>
  <si>
    <t xml:space="preserve">з 01.01.2026 по 31.12.2026</t>
  </si>
  <si>
    <t xml:space="preserve">Міжрозрядні тарифні коефіціенти</t>
  </si>
  <si>
    <t xml:space="preserve">Апарат управління</t>
  </si>
  <si>
    <t xml:space="preserve"> "Експлуатація та обслуговування обладнання систем водозабезпечення та водовідведення"</t>
  </si>
  <si>
    <t xml:space="preserve">Директор підприємства</t>
  </si>
  <si>
    <t xml:space="preserve"> контракт</t>
  </si>
  <si>
    <t xml:space="preserve">Заступник директора з виробничих питань</t>
  </si>
  <si>
    <t xml:space="preserve">Головний інженер</t>
  </si>
  <si>
    <t xml:space="preserve">Головний бухгалтер</t>
  </si>
  <si>
    <t xml:space="preserve">Заступник головного бухгалтера</t>
  </si>
  <si>
    <t xml:space="preserve">Годинні тарифні ставки</t>
  </si>
  <si>
    <t xml:space="preserve">Бухгалтер з обліку товаро-матеріальних цінностей</t>
  </si>
  <si>
    <t xml:space="preserve">Бухгалтер з нарахування заробітної плати</t>
  </si>
  <si>
    <t xml:space="preserve">Бухгалтер</t>
  </si>
  <si>
    <t xml:space="preserve">Інженер з охорони праці</t>
  </si>
  <si>
    <t xml:space="preserve">Інспектор з кадрів</t>
  </si>
  <si>
    <t xml:space="preserve">Секретар</t>
  </si>
  <si>
    <t xml:space="preserve">Начальник юридичного відділу</t>
  </si>
  <si>
    <t xml:space="preserve">Юрисконсульт</t>
  </si>
  <si>
    <t xml:space="preserve">Фахівець з публічних закупівель</t>
  </si>
  <si>
    <t xml:space="preserve">Фахівець з безпеки </t>
  </si>
  <si>
    <t xml:space="preserve">Разом по апарату управління, керівників, професіоналів, фахівців, технічних службовців</t>
  </si>
  <si>
    <t xml:space="preserve">Розрахунок посадових окладів керівників, спеціалістів та технічних службовців(ВСІХ ПРАЦІВНИКІВ НА ОКЛАДІ)</t>
  </si>
  <si>
    <t xml:space="preserve">Відділ збуту</t>
  </si>
  <si>
    <t xml:space="preserve">2684 грн*160%*1,58*коефіціент співвідношення</t>
  </si>
  <si>
    <t xml:space="preserve">Начальник відділу збуту</t>
  </si>
  <si>
    <t xml:space="preserve">Заступник начальника відділу збуту</t>
  </si>
  <si>
    <t xml:space="preserve">Економіст з договорної роботи</t>
  </si>
  <si>
    <t xml:space="preserve">Всього керівників, професіоналів, фахівців, технічних службовців</t>
  </si>
  <si>
    <r>
      <rPr>
        <sz val="10"/>
        <color rgb="FF000000"/>
        <rFont val="Times New Roman"/>
        <family val="0"/>
        <charset val="204"/>
      </rPr>
      <t xml:space="preserve">Оператор комп</t>
    </r>
    <r>
      <rPr>
        <sz val="10"/>
        <color rgb="FF000000"/>
        <rFont val="Arial Narrow"/>
        <family val="0"/>
        <charset val="204"/>
      </rPr>
      <t xml:space="preserve">’</t>
    </r>
    <r>
      <rPr>
        <sz val="10"/>
        <color rgb="FF000000"/>
        <rFont val="Times New Roman"/>
        <family val="0"/>
        <charset val="204"/>
      </rPr>
      <t xml:space="preserve">ютерного набору</t>
    </r>
  </si>
  <si>
    <t xml:space="preserve">Обліковець</t>
  </si>
  <si>
    <t xml:space="preserve">Контролер водопровідного господарства </t>
  </si>
  <si>
    <t xml:space="preserve">Контролер водопровідного господарства промислового сектору</t>
  </si>
  <si>
    <t xml:space="preserve">Слюсар-сантехнік</t>
  </si>
  <si>
    <t xml:space="preserve">ⅠⅤ</t>
  </si>
  <si>
    <t xml:space="preserve">Разом по відділу збуту робітників</t>
  </si>
  <si>
    <t xml:space="preserve">Разом по відділу збуту</t>
  </si>
  <si>
    <t xml:space="preserve">Техніко-експлуатаційна служба </t>
  </si>
  <si>
    <t xml:space="preserve">Головний енергетик</t>
  </si>
  <si>
    <t xml:space="preserve">Головний технолог</t>
  </si>
  <si>
    <t xml:space="preserve">Всього керівників, професіоналів, фахівців</t>
  </si>
  <si>
    <t xml:space="preserve">Планово-економічний відділ</t>
  </si>
  <si>
    <t xml:space="preserve">Начальник планово-економічного відділу</t>
  </si>
  <si>
    <t xml:space="preserve">Економіст з матеріально-технічного забезпечення</t>
  </si>
  <si>
    <t xml:space="preserve">Економіст з праці</t>
  </si>
  <si>
    <t xml:space="preserve">Технік-програміст</t>
  </si>
  <si>
    <t xml:space="preserve">Відділ головного інженера</t>
  </si>
  <si>
    <t xml:space="preserve">Старший інженер </t>
  </si>
  <si>
    <t xml:space="preserve">Інженер з експлуатації споруд та устаткування водопровідно-каналізаційного господарства</t>
  </si>
  <si>
    <t xml:space="preserve">Технік</t>
  </si>
  <si>
    <t xml:space="preserve">Диспетчерська служба</t>
  </si>
  <si>
    <t xml:space="preserve">Старший диспетчер</t>
  </si>
  <si>
    <t xml:space="preserve">Диспетчер</t>
  </si>
  <si>
    <t xml:space="preserve">Всього фахівців</t>
  </si>
  <si>
    <t xml:space="preserve">Хіміко-бактеріологічна лабараторія водопостачання</t>
  </si>
  <si>
    <t xml:space="preserve">Завідувач лабараторії</t>
  </si>
  <si>
    <t xml:space="preserve">Бактеріолог</t>
  </si>
  <si>
    <t xml:space="preserve">Боєва</t>
  </si>
  <si>
    <t xml:space="preserve">Всього керівників, професіоналів </t>
  </si>
  <si>
    <t xml:space="preserve">Лабарант хіміко-бактеріологічного аналізу</t>
  </si>
  <si>
    <t xml:space="preserve">ІІІ</t>
  </si>
  <si>
    <t xml:space="preserve">Всього робітників</t>
  </si>
  <si>
    <t xml:space="preserve">Всього по хіміко-бактеріологічній лабараторіїї водопостачання</t>
  </si>
  <si>
    <t xml:space="preserve">Хіміко-бактеріологічна лабараторія водовідведення</t>
  </si>
  <si>
    <t xml:space="preserve">Ларіонова</t>
  </si>
  <si>
    <t xml:space="preserve">Лаборант хіміко-бактеріологічного аналізу</t>
  </si>
  <si>
    <t xml:space="preserve">Всього робітників </t>
  </si>
  <si>
    <t xml:space="preserve">Всього по хіміко-бактеріологічній лабараторії водовідведення</t>
  </si>
  <si>
    <t xml:space="preserve">Енергодільниця</t>
  </si>
  <si>
    <t xml:space="preserve">Майстер енергодільниці</t>
  </si>
  <si>
    <t xml:space="preserve">Всього керівників</t>
  </si>
  <si>
    <t xml:space="preserve">Слюсар з контрольно-вимірювальних приладів та атоматики</t>
  </si>
  <si>
    <t xml:space="preserve">Ⅴ</t>
  </si>
  <si>
    <t xml:space="preserve">Шматов</t>
  </si>
  <si>
    <t xml:space="preserve">Електромонтер з ремонту та обслуговування електроустаткування</t>
  </si>
  <si>
    <t xml:space="preserve">Електромонтер з ремонту та обслуговування електрообладнання</t>
  </si>
  <si>
    <t xml:space="preserve">Долженков</t>
  </si>
  <si>
    <t xml:space="preserve">Черговий електромонтер з обслуговування підстанції</t>
  </si>
  <si>
    <t xml:space="preserve">Електрослюсар з ремонту устаткування розподільних пристроїв</t>
  </si>
  <si>
    <t xml:space="preserve">Всього по енергодільниці</t>
  </si>
  <si>
    <t xml:space="preserve">Рембуддільниця</t>
  </si>
  <si>
    <t xml:space="preserve">Майстер рембуддільниці</t>
  </si>
  <si>
    <t xml:space="preserve">Маляр</t>
  </si>
  <si>
    <t xml:space="preserve">Муляр</t>
  </si>
  <si>
    <t xml:space="preserve">Всього робітників по рембуддільниці</t>
  </si>
  <si>
    <t xml:space="preserve">Всього по рембуддільниці</t>
  </si>
  <si>
    <t xml:space="preserve">Разом керівників, професіоналів, технічних службовців</t>
  </si>
  <si>
    <t xml:space="preserve">Разом робітників </t>
  </si>
  <si>
    <t xml:space="preserve">Разом по техніко-експлуатаційній службі  </t>
  </si>
  <si>
    <t xml:space="preserve">Цех водопостачання</t>
  </si>
  <si>
    <t xml:space="preserve">Начальник цеху</t>
  </si>
  <si>
    <t xml:space="preserve">Механік цеху</t>
  </si>
  <si>
    <t xml:space="preserve">Майстер</t>
  </si>
  <si>
    <t xml:space="preserve">Фахівець з цивільного захисту</t>
  </si>
  <si>
    <t xml:space="preserve">Всього керівників, професіоналів</t>
  </si>
  <si>
    <t xml:space="preserve">Насосна станція І підйому</t>
  </si>
  <si>
    <t xml:space="preserve">Машиніст насосних установок</t>
  </si>
  <si>
    <t xml:space="preserve">Андрух</t>
  </si>
  <si>
    <t xml:space="preserve">Насосна станція ІІ підйому</t>
  </si>
  <si>
    <t xml:space="preserve">ІІ</t>
  </si>
  <si>
    <t xml:space="preserve">Шолохівська насосна станція </t>
  </si>
  <si>
    <t xml:space="preserve">Очисні споруди водоводу</t>
  </si>
  <si>
    <t xml:space="preserve">Оператор на фільтрах</t>
  </si>
  <si>
    <t xml:space="preserve">Сємак</t>
  </si>
  <si>
    <t xml:space="preserve">Оператор хлораторної установки</t>
  </si>
  <si>
    <t xml:space="preserve">Слюсар-ремонтник</t>
  </si>
  <si>
    <t xml:space="preserve">Носовський</t>
  </si>
  <si>
    <t xml:space="preserve">Слюсар аварійно-відновлювальних робіт</t>
  </si>
  <si>
    <t xml:space="preserve">Електрогазозварник</t>
  </si>
  <si>
    <t xml:space="preserve">Службові приміщення,склад, територія</t>
  </si>
  <si>
    <t xml:space="preserve">Комірник</t>
  </si>
  <si>
    <t xml:space="preserve">Прибиральник службових приміщень</t>
  </si>
  <si>
    <t xml:space="preserve">Пацеріна</t>
  </si>
  <si>
    <t xml:space="preserve">Разом по цеху водопостачання</t>
  </si>
  <si>
    <t xml:space="preserve">Цех очистні споруди каналізації</t>
  </si>
  <si>
    <t xml:space="preserve">Обслуговування каналізаційних насосних станцій</t>
  </si>
  <si>
    <t xml:space="preserve">Оператор дистанційного пульту керування у водопровідно-каналізаційному господарстві</t>
  </si>
  <si>
    <t xml:space="preserve">Обслуговування каналізаційних мереж</t>
  </si>
  <si>
    <t xml:space="preserve">Овечко</t>
  </si>
  <si>
    <t xml:space="preserve">Обслуговування очисних споруд</t>
  </si>
  <si>
    <t xml:space="preserve">Оператор на решітці</t>
  </si>
  <si>
    <t xml:space="preserve">Оператор на відстійниках первинних</t>
  </si>
  <si>
    <t xml:space="preserve">Оператор на відстійниках вторинних</t>
  </si>
  <si>
    <t xml:space="preserve">Оператор споруд для видалення осаду</t>
  </si>
  <si>
    <t xml:space="preserve">Оператор установки для зневоднення осаду</t>
  </si>
  <si>
    <t xml:space="preserve">Службові приміщення</t>
  </si>
  <si>
    <t xml:space="preserve">Дільниця по обслуговуванню каналізаційних мереж</t>
  </si>
  <si>
    <t xml:space="preserve">Всього роботників</t>
  </si>
  <si>
    <t xml:space="preserve">Разом по цеху очисні споруди каналізації</t>
  </si>
  <si>
    <t xml:space="preserve">Дільниця водопровідних мереж</t>
  </si>
  <si>
    <t xml:space="preserve">Начальник дільниці</t>
  </si>
  <si>
    <t xml:space="preserve">Обслуговування та аварійний ремонт водопровідної мережі</t>
  </si>
  <si>
    <t xml:space="preserve">Разом по дільниці водопровідних мереж</t>
  </si>
  <si>
    <t xml:space="preserve">Автотранспортний цех</t>
  </si>
  <si>
    <t xml:space="preserve">Фельдшер</t>
  </si>
  <si>
    <t xml:space="preserve">Всього керівників, фацівців</t>
  </si>
  <si>
    <t xml:space="preserve">Машиніст екскаватора</t>
  </si>
  <si>
    <t xml:space="preserve">ⅤІ</t>
  </si>
  <si>
    <t xml:space="preserve">Слюсар з ремонту колісних транспортних засобів</t>
  </si>
  <si>
    <t xml:space="preserve">Водій автотранспорнтих засобів категорії "В"</t>
  </si>
  <si>
    <t xml:space="preserve">Водій автотранспорнтих засобів категорії "С1"</t>
  </si>
  <si>
    <t xml:space="preserve">Водій автотранспорнтих засобів категорії "С"(КамАЗ5511)</t>
  </si>
  <si>
    <t xml:space="preserve">Прибиральник територій</t>
  </si>
  <si>
    <t xml:space="preserve">Всього робітників по автотранспортному цеху</t>
  </si>
  <si>
    <t xml:space="preserve">Разом по автотранспортному цеху</t>
  </si>
  <si>
    <t xml:space="preserve">Всього ІТР по підприємству</t>
  </si>
  <si>
    <t xml:space="preserve">Всього робітників по підприємству</t>
  </si>
  <si>
    <t xml:space="preserve">ВСЬОГО по підприємству</t>
  </si>
  <si>
    <t xml:space="preserve">ФОП  по підприємству</t>
  </si>
  <si>
    <t xml:space="preserve">у т.ч. інваліди</t>
  </si>
  <si>
    <t xml:space="preserve">ФОП працюючих по ЦПД</t>
  </si>
  <si>
    <t xml:space="preserve">ЄСВ усього </t>
  </si>
  <si>
    <t xml:space="preserve">у т. ч. штатні працівники</t>
  </si>
  <si>
    <t xml:space="preserve">інваліди</t>
  </si>
  <si>
    <t xml:space="preserve">працюючі по ЦПД</t>
  </si>
  <si>
    <t xml:space="preserve">ФОП по підприємству з ЄСВ</t>
  </si>
  <si>
    <t xml:space="preserve">Лілія МУЗИКАНТ</t>
  </si>
  <si>
    <t xml:space="preserve">Голова профспілкового комітету
первинної профспілкової організації</t>
  </si>
  <si>
    <t xml:space="preserve">Лілія ФЕДЧИК</t>
  </si>
  <si>
    <t xml:space="preserve">Провідний юрисконсульт</t>
  </si>
  <si>
    <t xml:space="preserve">Андрій МОТРОНЧУК</t>
  </si>
  <si>
    <t xml:space="preserve">Виконавець</t>
  </si>
  <si>
    <t xml:space="preserve">Економіст з праці ПЕВ</t>
  </si>
  <si>
    <t xml:space="preserve">Олексій ЧЕРГИНЕЦЬ</t>
  </si>
  <si>
    <t xml:space="preserve">Ольга МЕЛЬНИК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</si>
</sst>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%"/>
    <numFmt numFmtId="167" formatCode="0.0"/>
    <numFmt numFmtId="168" formatCode="#,##0.00"/>
    <numFmt numFmtId="169" formatCode="General"/>
    <numFmt numFmtId="170" formatCode="0.00%"/>
    <numFmt numFmtId="171" formatCode="0"/>
  </numFmts>
  <fonts count="71">
    <font>
      <sz val="11"/>
      <color rgb="FF000000"/>
      <name val="Calibri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0"/>
      <charset val="204"/>
    </font>
    <font>
      <sz val="10"/>
      <color rgb="FF000000"/>
      <name val="Times New Roman"/>
      <family val="0"/>
      <charset val="204"/>
    </font>
    <font>
      <sz val="11"/>
      <name val="Times New Roman"/>
      <family val="0"/>
      <charset val="204"/>
    </font>
    <font>
      <sz val="12"/>
      <name val="Times New Roman"/>
      <family val="0"/>
      <charset val="204"/>
    </font>
    <font>
      <sz val="12"/>
      <name val="Calibri"/>
      <family val="0"/>
      <charset val="204"/>
    </font>
    <font>
      <sz val="11"/>
      <name val="Calibri"/>
      <family val="0"/>
      <charset val="204"/>
    </font>
    <font>
      <sz val="11"/>
      <color rgb="FF000000"/>
      <name val="Calibri"/>
      <family val="0"/>
      <charset val="204"/>
    </font>
    <font>
      <b val="true"/>
      <sz val="11"/>
      <color rgb="FF000000"/>
      <name val="Times New Roman"/>
      <family val="0"/>
      <charset val="204"/>
    </font>
    <font>
      <b val="true"/>
      <sz val="10"/>
      <color rgb="FF000000"/>
      <name val="Times New Roman"/>
      <family val="0"/>
      <charset val="204"/>
    </font>
    <font>
      <sz val="12"/>
      <color rgb="FF000000"/>
      <name val="Calibri"/>
      <family val="0"/>
      <charset val="204"/>
    </font>
    <font>
      <u val="single"/>
      <sz val="11"/>
      <color rgb="FF0000FF"/>
      <name val="Calibri"/>
      <family val="0"/>
      <charset val="1"/>
    </font>
    <font>
      <u val="single"/>
      <sz val="11"/>
      <color rgb="FF0563C1"/>
      <name val="Times New Roman"/>
      <family val="0"/>
      <charset val="204"/>
    </font>
    <font>
      <b val="true"/>
      <sz val="12"/>
      <color rgb="FF000000"/>
      <name val="Calibri"/>
      <family val="0"/>
      <charset val="204"/>
    </font>
    <font>
      <b val="true"/>
      <sz val="11"/>
      <name val="Times New Roman"/>
      <family val="0"/>
      <charset val="204"/>
    </font>
    <font>
      <b val="true"/>
      <u val="single"/>
      <sz val="11"/>
      <name val="Times New Roman"/>
      <family val="0"/>
      <charset val="204"/>
    </font>
    <font>
      <b val="true"/>
      <u val="single"/>
      <sz val="12"/>
      <name val="Times New Roman"/>
      <family val="0"/>
      <charset val="204"/>
    </font>
    <font>
      <b val="true"/>
      <sz val="10"/>
      <name val="Times New Roman"/>
      <family val="0"/>
      <charset val="204"/>
    </font>
    <font>
      <i val="true"/>
      <u val="single"/>
      <sz val="22"/>
      <name val="Times New Roman"/>
      <family val="0"/>
      <charset val="204"/>
    </font>
    <font>
      <sz val="8"/>
      <name val="Times New Roman"/>
      <family val="0"/>
      <charset val="204"/>
    </font>
    <font>
      <sz val="8"/>
      <color rgb="FF000000"/>
      <name val="Times New Roman"/>
      <family val="0"/>
      <charset val="204"/>
    </font>
    <font>
      <b val="true"/>
      <u val="single"/>
      <sz val="12"/>
      <color rgb="FF000000"/>
      <name val="Times New Roman"/>
      <family val="0"/>
      <charset val="204"/>
    </font>
    <font>
      <b val="true"/>
      <i val="true"/>
      <u val="single"/>
      <sz val="12"/>
      <name val="Calibri"/>
      <family val="0"/>
      <charset val="204"/>
    </font>
    <font>
      <b val="true"/>
      <i val="true"/>
      <u val="single"/>
      <sz val="11"/>
      <name val="Calibri"/>
      <family val="0"/>
      <charset val="204"/>
    </font>
    <font>
      <b val="true"/>
      <i val="true"/>
      <u val="single"/>
      <sz val="11"/>
      <color rgb="FF000000"/>
      <name val="Calibri"/>
      <family val="0"/>
      <charset val="204"/>
    </font>
    <font>
      <sz val="8"/>
      <color rgb="FF000000"/>
      <name val="Times New Roman"/>
      <family val="0"/>
      <charset val="1"/>
    </font>
    <font>
      <sz val="10"/>
      <name val="Times New Roman"/>
      <family val="0"/>
      <charset val="204"/>
    </font>
    <font>
      <b val="true"/>
      <i val="true"/>
      <u val="single"/>
      <sz val="10"/>
      <color rgb="FF000000"/>
      <name val="Times New Roman"/>
      <family val="0"/>
      <charset val="204"/>
    </font>
    <font>
      <b val="true"/>
      <i val="true"/>
      <u val="single"/>
      <sz val="10"/>
      <name val="Times New Roman"/>
      <family val="0"/>
      <charset val="204"/>
    </font>
    <font>
      <u val="single"/>
      <sz val="12"/>
      <color rgb="FFFFFFFF"/>
      <name val="Times New Roman"/>
      <family val="0"/>
      <charset val="204"/>
    </font>
    <font>
      <u val="single"/>
      <sz val="12"/>
      <name val="Times New Roman"/>
      <family val="0"/>
      <charset val="204"/>
    </font>
    <font>
      <u val="single"/>
      <sz val="11"/>
      <name val="Times New Roman"/>
      <family val="0"/>
      <charset val="204"/>
    </font>
    <font>
      <u val="single"/>
      <sz val="11"/>
      <color rgb="FF000000"/>
      <name val="Times New Roman"/>
      <family val="0"/>
      <charset val="204"/>
    </font>
    <font>
      <b val="true"/>
      <u val="single"/>
      <sz val="10"/>
      <color rgb="FF000000"/>
      <name val="Times New Roman"/>
      <family val="0"/>
      <charset val="204"/>
    </font>
    <font>
      <b val="true"/>
      <u val="single"/>
      <sz val="10"/>
      <name val="Times New Roman"/>
      <family val="0"/>
      <charset val="204"/>
    </font>
    <font>
      <i val="true"/>
      <u val="single"/>
      <sz val="12"/>
      <name val="Times New Roman"/>
      <family val="0"/>
      <charset val="204"/>
    </font>
    <font>
      <i val="true"/>
      <u val="single"/>
      <sz val="11"/>
      <name val="Times New Roman"/>
      <family val="0"/>
      <charset val="204"/>
    </font>
    <font>
      <i val="true"/>
      <u val="single"/>
      <sz val="11"/>
      <color rgb="FF000000"/>
      <name val="Times New Roman"/>
      <family val="0"/>
      <charset val="204"/>
    </font>
    <font>
      <u val="single"/>
      <sz val="10"/>
      <color rgb="FF000000"/>
      <name val="Times New Roman"/>
      <family val="0"/>
      <charset val="204"/>
    </font>
    <font>
      <sz val="10"/>
      <color rgb="FF000000"/>
      <name val="Arial Narrow"/>
      <family val="0"/>
      <charset val="204"/>
    </font>
    <font>
      <b val="true"/>
      <i val="true"/>
      <u val="single"/>
      <sz val="12"/>
      <name val="Times New Roman"/>
      <family val="0"/>
      <charset val="204"/>
    </font>
    <font>
      <b val="true"/>
      <i val="true"/>
      <u val="single"/>
      <sz val="11"/>
      <name val="Times New Roman"/>
      <family val="0"/>
      <charset val="204"/>
    </font>
    <font>
      <b val="true"/>
      <i val="true"/>
      <u val="single"/>
      <sz val="11"/>
      <color rgb="FF000000"/>
      <name val="Times New Roman"/>
      <family val="0"/>
      <charset val="204"/>
    </font>
    <font>
      <i val="true"/>
      <sz val="12"/>
      <name val="Times New Roman"/>
      <family val="0"/>
      <charset val="204"/>
    </font>
    <font>
      <i val="true"/>
      <sz val="11"/>
      <name val="Times New Roman"/>
      <family val="0"/>
      <charset val="204"/>
    </font>
    <font>
      <i val="true"/>
      <sz val="11"/>
      <color rgb="FF000000"/>
      <name val="Times New Roman"/>
      <family val="0"/>
      <charset val="204"/>
    </font>
    <font>
      <sz val="10"/>
      <color rgb="FF000000"/>
      <name val="Times New Roman"/>
      <family val="1"/>
      <charset val="204"/>
    </font>
    <font>
      <b val="true"/>
      <i val="true"/>
      <u val="single"/>
      <sz val="9"/>
      <color rgb="FF000000"/>
      <name val="Times New Roman"/>
      <family val="0"/>
      <charset val="204"/>
    </font>
    <font>
      <b val="true"/>
      <i val="true"/>
      <sz val="10"/>
      <color rgb="FF000000"/>
      <name val="Times New Roman"/>
      <family val="0"/>
      <charset val="204"/>
    </font>
    <font>
      <b val="true"/>
      <i val="true"/>
      <sz val="10"/>
      <name val="Times New Roman"/>
      <family val="0"/>
      <charset val="204"/>
    </font>
    <font>
      <b val="true"/>
      <sz val="12"/>
      <color rgb="FF000000"/>
      <name val="Times New Roman"/>
      <family val="0"/>
      <charset val="204"/>
    </font>
    <font>
      <b val="true"/>
      <sz val="12"/>
      <name val="Times New Roman"/>
      <family val="0"/>
      <charset val="204"/>
    </font>
    <font>
      <u val="single"/>
      <sz val="10"/>
      <name val="Times New Roman"/>
      <family val="0"/>
      <charset val="204"/>
    </font>
    <font>
      <u val="single"/>
      <sz val="12"/>
      <color rgb="FFFF0000"/>
      <name val="Times New Roman"/>
      <family val="0"/>
      <charset val="204"/>
    </font>
    <font>
      <i val="true"/>
      <u val="single"/>
      <sz val="12"/>
      <color rgb="FFFF0000"/>
      <name val="Times New Roman"/>
      <family val="0"/>
      <charset val="204"/>
    </font>
    <font>
      <i val="true"/>
      <u val="single"/>
      <sz val="11"/>
      <color rgb="FFFF0000"/>
      <name val="Times New Roman"/>
      <family val="0"/>
      <charset val="204"/>
    </font>
    <font>
      <i val="true"/>
      <u val="single"/>
      <sz val="10"/>
      <name val="Times New Roman"/>
      <family val="0"/>
      <charset val="204"/>
    </font>
    <font>
      <i val="true"/>
      <u val="single"/>
      <sz val="10"/>
      <color rgb="FF000000"/>
      <name val="Times New Roman"/>
      <family val="0"/>
      <charset val="204"/>
    </font>
    <font>
      <b val="true"/>
      <sz val="10"/>
      <name val="Calibri"/>
      <family val="0"/>
      <charset val="204"/>
    </font>
    <font>
      <b val="true"/>
      <sz val="10"/>
      <color rgb="FFFFFFFF"/>
      <name val="Times New Roman"/>
      <family val="0"/>
      <charset val="204"/>
    </font>
    <font>
      <sz val="10"/>
      <color rgb="FFFFFFFF"/>
      <name val="Times New Roman"/>
      <family val="0"/>
      <charset val="204"/>
    </font>
    <font>
      <sz val="10"/>
      <name val="Calibri"/>
      <family val="0"/>
      <charset val="204"/>
    </font>
    <font>
      <sz val="10"/>
      <color rgb="FF000000"/>
      <name val="Calibri"/>
      <family val="0"/>
      <charset val="204"/>
    </font>
    <font>
      <sz val="14"/>
      <color rgb="FF000000"/>
      <name val="Times New Roman"/>
      <family val="0"/>
      <charset val="204"/>
    </font>
    <font>
      <sz val="14"/>
      <name val="Times New Roman"/>
      <family val="0"/>
      <charset val="204"/>
    </font>
    <font>
      <b val="true"/>
      <sz val="9"/>
      <name val="Tahoma"/>
      <family val="0"/>
      <charset val="204"/>
    </font>
    <font>
      <sz val="9"/>
      <name val="Tahoma"/>
      <family val="0"/>
      <charset val="1"/>
    </font>
    <font>
      <sz val="9"/>
      <name val="Tahoma"/>
      <family val="0"/>
      <charset val="204"/>
    </font>
  </fonts>
  <fills count="2">
    <fill>
      <patternFill patternType="none"/>
    </fill>
    <fill>
      <patternFill patternType="gray125"/>
    </fill>
  </fills>
  <borders count="7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9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3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1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2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6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2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2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1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9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4" fillId="0" borderId="3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0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5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3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9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4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1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1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1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1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1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2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0" fillId="0" borderId="3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0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0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3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3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4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41" xfId="21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3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0" borderId="2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4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4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4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0" borderId="4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0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5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5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0" borderId="5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5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5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4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5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0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0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0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5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5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5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5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4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5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0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0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0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5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1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5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1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1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1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5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5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4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6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6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5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4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0" borderId="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0" borderId="5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1" fillId="0" borderId="6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6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41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6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5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6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5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6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6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6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7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5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5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7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7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7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7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7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7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5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5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5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7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5" fillId="0" borderId="7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5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6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6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1" fillId="0" borderId="5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6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5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4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5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6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6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6" fillId="0" borderId="5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5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00000"/>
    <pageSetUpPr fitToPage="false"/>
  </sheetPr>
  <dimension ref="A1:AQ199"/>
  <sheetViews>
    <sheetView showFormulas="false" showGridLines="true" showRowColHeaders="true" showZeros="true" rightToLeft="false" tabSelected="true" showOutlineSymbols="true" defaultGridColor="true" view="pageBreakPreview" topLeftCell="A190" colorId="64" zoomScale="75" zoomScaleNormal="100" zoomScalePageLayoutView="75" workbookViewId="0">
      <selection pane="topLeft" activeCell="AP25" activeCellId="0" sqref="AP25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2" width="28.57"/>
    <col collapsed="false" customWidth="true" hidden="false" outlineLevel="0" max="3" min="3" style="3" width="6.57"/>
    <col collapsed="false" customWidth="true" hidden="false" outlineLevel="0" max="4" min="4" style="3" width="6.14"/>
    <col collapsed="false" customWidth="true" hidden="false" outlineLevel="0" max="5" min="5" style="3" width="5.57"/>
    <col collapsed="false" customWidth="true" hidden="false" outlineLevel="0" max="6" min="6" style="3" width="5.71"/>
    <col collapsed="false" customWidth="true" hidden="false" outlineLevel="0" max="7" min="7" style="4" width="10.71"/>
    <col collapsed="false" customWidth="true" hidden="false" outlineLevel="0" max="8" min="8" style="4" width="11.14"/>
    <col collapsed="false" customWidth="true" hidden="false" outlineLevel="0" max="9" min="9" style="4" width="9.42"/>
    <col collapsed="false" customWidth="true" hidden="true" outlineLevel="0" max="10" min="10" style="3" width="4.57"/>
    <col collapsed="false" customWidth="true" hidden="true" outlineLevel="0" max="11" min="11" style="4" width="8.42"/>
    <col collapsed="false" customWidth="true" hidden="false" outlineLevel="0" max="12" min="12" style="4" width="9.29"/>
    <col collapsed="false" customWidth="true" hidden="true" outlineLevel="0" max="13" min="13" style="4" width="6.29"/>
    <col collapsed="false" customWidth="true" hidden="true" outlineLevel="0" max="14" min="14" style="4" width="7.42"/>
    <col collapsed="false" customWidth="false" hidden="true" outlineLevel="0" max="15" min="15" style="4" width="9.14"/>
    <col collapsed="false" customWidth="true" hidden="false" outlineLevel="0" max="17" min="16" style="4" width="9.29"/>
    <col collapsed="false" customWidth="true" hidden="false" outlineLevel="0" max="18" min="18" style="4" width="0.14"/>
    <col collapsed="false" customWidth="true" hidden="true" outlineLevel="0" max="19" min="19" style="4" width="6.14"/>
    <col collapsed="false" customWidth="true" hidden="true" outlineLevel="0" max="20" min="20" style="4" width="7.57"/>
    <col collapsed="false" customWidth="true" hidden="false" outlineLevel="0" max="21" min="21" style="4" width="12.29"/>
    <col collapsed="false" customWidth="true" hidden="false" outlineLevel="0" max="22" min="22" style="5" width="13.71"/>
    <col collapsed="false" customWidth="true" hidden="true" outlineLevel="0" max="23" min="23" style="6" width="11.71"/>
    <col collapsed="false" customWidth="true" hidden="true" outlineLevel="0" max="35" min="24" style="7" width="9.57"/>
    <col collapsed="false" customWidth="false" hidden="true" outlineLevel="0" max="36" min="36" style="7" width="9.14"/>
    <col collapsed="false" customWidth="false" hidden="false" outlineLevel="0" max="38" min="37" style="7" width="9.14"/>
    <col collapsed="false" customWidth="true" hidden="false" outlineLevel="0" max="39" min="39" style="8" width="15.57"/>
    <col collapsed="false" customWidth="true" hidden="false" outlineLevel="0" max="40" min="40" style="8" width="13.15"/>
    <col collapsed="false" customWidth="false" hidden="false" outlineLevel="0" max="43" min="41" style="8" width="9.14"/>
    <col collapsed="false" customWidth="false" hidden="false" outlineLevel="0" max="16384" min="44" style="9" width="9.14"/>
  </cols>
  <sheetData>
    <row r="1" s="15" customFormat="true" ht="47.25" hidden="true" customHeight="true" outlineLevel="0" collapsed="false">
      <c r="A1" s="10" t="s">
        <v>0</v>
      </c>
      <c r="B1" s="11"/>
      <c r="C1" s="12"/>
      <c r="D1" s="12"/>
      <c r="E1" s="12"/>
      <c r="F1" s="12"/>
      <c r="G1" s="13" t="s">
        <v>1</v>
      </c>
      <c r="H1" s="13"/>
      <c r="I1" s="13"/>
      <c r="J1" s="14" t="e">
        <f aca="false">ROUND(D1*G1,2)</f>
        <v>#VALUE!</v>
      </c>
      <c r="K1" s="13"/>
      <c r="L1" s="13"/>
      <c r="M1" s="13"/>
      <c r="N1" s="13"/>
      <c r="O1" s="13"/>
      <c r="P1" s="13"/>
      <c r="Q1" s="13"/>
      <c r="R1" s="13"/>
      <c r="S1" s="13"/>
      <c r="T1" s="13"/>
      <c r="U1" s="4"/>
      <c r="V1" s="5"/>
      <c r="W1" s="6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="15" customFormat="true" ht="24" hidden="true" customHeight="true" outlineLevel="0" collapsed="false">
      <c r="A2" s="10" t="s">
        <v>2</v>
      </c>
      <c r="B2" s="11"/>
      <c r="C2" s="12"/>
      <c r="D2" s="12"/>
      <c r="E2" s="12"/>
      <c r="F2" s="12"/>
      <c r="G2" s="13"/>
      <c r="H2" s="13"/>
      <c r="I2" s="13"/>
      <c r="J2" s="14" t="n">
        <f aca="false">ROUND(D2*G2,2)</f>
        <v>0</v>
      </c>
      <c r="K2" s="13"/>
      <c r="L2" s="13"/>
      <c r="M2" s="13"/>
      <c r="N2" s="13"/>
      <c r="O2" s="13"/>
      <c r="P2" s="13"/>
      <c r="Q2" s="13"/>
      <c r="R2" s="13"/>
      <c r="S2" s="13"/>
      <c r="T2" s="13"/>
      <c r="U2" s="4"/>
      <c r="V2" s="5"/>
      <c r="W2" s="6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="15" customFormat="true" ht="25.5" hidden="true" customHeight="true" outlineLevel="0" collapsed="false">
      <c r="A3" s="10"/>
      <c r="B3" s="2"/>
      <c r="C3" s="3"/>
      <c r="D3" s="3"/>
      <c r="E3" s="3"/>
      <c r="F3" s="3"/>
      <c r="G3" s="4"/>
      <c r="H3" s="4"/>
      <c r="I3" s="4"/>
      <c r="J3" s="14" t="n">
        <f aca="false">ROUND(D3*G3,2)</f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="15" customFormat="true" ht="27.75" hidden="true" customHeight="true" outlineLevel="0" collapsed="false">
      <c r="A4" s="10"/>
      <c r="B4" s="2"/>
      <c r="C4" s="3"/>
      <c r="D4" s="3"/>
      <c r="E4" s="3"/>
      <c r="F4" s="3"/>
      <c r="G4" s="4"/>
      <c r="H4" s="4"/>
      <c r="I4" s="4"/>
      <c r="J4" s="14" t="n">
        <f aca="false">ROUND(D4*G4,2)</f>
        <v>0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6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="15" customFormat="true" ht="27.75" hidden="true" customHeight="true" outlineLevel="0" collapsed="false">
      <c r="A5" s="10"/>
      <c r="B5" s="2"/>
      <c r="C5" s="3"/>
      <c r="D5" s="3"/>
      <c r="E5" s="3"/>
      <c r="F5" s="3"/>
      <c r="G5" s="4"/>
      <c r="H5" s="4"/>
      <c r="I5" s="4"/>
      <c r="J5" s="14" t="n">
        <f aca="false">ROUND(D5*G5,2)</f>
        <v>0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6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="15" customFormat="true" ht="15" hidden="true" customHeight="true" outlineLevel="0" collapsed="false">
      <c r="A6" s="10"/>
      <c r="B6" s="2"/>
      <c r="C6" s="3"/>
      <c r="D6" s="3"/>
      <c r="E6" s="3"/>
      <c r="F6" s="3"/>
      <c r="G6" s="4"/>
      <c r="H6" s="4"/>
      <c r="I6" s="4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6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="15" customFormat="true" ht="18" hidden="true" customHeight="true" outlineLevel="0" collapsed="false">
      <c r="A7" s="16"/>
      <c r="B7" s="2"/>
      <c r="C7" s="3"/>
      <c r="D7" s="3"/>
      <c r="E7" s="3"/>
      <c r="F7" s="3"/>
      <c r="G7" s="4"/>
      <c r="H7" s="4"/>
      <c r="I7" s="4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6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="15" customFormat="true" ht="18" hidden="false" customHeight="true" outlineLevel="0" collapsed="false">
      <c r="A8" s="16"/>
      <c r="B8" s="11" t="s">
        <v>3</v>
      </c>
      <c r="C8" s="3"/>
      <c r="D8" s="3"/>
      <c r="E8" s="3"/>
      <c r="F8" s="3"/>
      <c r="I8" s="17" t="s">
        <v>4</v>
      </c>
      <c r="J8" s="18"/>
      <c r="K8" s="19"/>
      <c r="L8" s="18"/>
      <c r="M8" s="18"/>
      <c r="N8" s="18"/>
      <c r="O8" s="18"/>
      <c r="P8" s="18"/>
      <c r="Q8" s="20"/>
      <c r="R8" s="20"/>
      <c r="S8" s="20"/>
      <c r="T8" s="20"/>
      <c r="U8" s="21"/>
      <c r="V8" s="5"/>
      <c r="W8" s="6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="15" customFormat="true" ht="22.5" hidden="false" customHeight="true" outlineLevel="0" collapsed="false">
      <c r="A9" s="1"/>
      <c r="B9" s="22" t="s">
        <v>5</v>
      </c>
      <c r="C9" s="23"/>
      <c r="D9" s="23"/>
      <c r="E9" s="23"/>
      <c r="F9" s="23"/>
      <c r="I9" s="17" t="s">
        <v>6</v>
      </c>
      <c r="J9" s="17"/>
      <c r="K9" s="17"/>
      <c r="L9" s="17"/>
      <c r="M9" s="17"/>
      <c r="N9" s="17"/>
      <c r="O9" s="17"/>
      <c r="P9" s="18"/>
      <c r="Q9" s="18"/>
      <c r="R9" s="18"/>
      <c r="S9" s="18"/>
      <c r="T9" s="18"/>
      <c r="U9" s="21"/>
      <c r="W9" s="24" t="s">
        <v>7</v>
      </c>
      <c r="X9" s="25"/>
      <c r="Y9" s="25"/>
      <c r="Z9" s="25"/>
      <c r="AA9" s="25"/>
      <c r="AB9" s="25"/>
      <c r="AC9" s="25"/>
      <c r="AD9" s="25"/>
      <c r="AE9" s="25"/>
      <c r="AF9" s="25"/>
      <c r="AG9" s="26"/>
      <c r="AH9" s="26"/>
      <c r="AI9" s="7"/>
      <c r="AJ9" s="7"/>
      <c r="AK9" s="7"/>
      <c r="AL9" s="7"/>
      <c r="AM9" s="7"/>
      <c r="AN9" s="7"/>
      <c r="AO9" s="7"/>
      <c r="AP9" s="7"/>
      <c r="AQ9" s="7"/>
    </row>
    <row r="10" s="15" customFormat="true" ht="14.25" hidden="false" customHeight="true" outlineLevel="0" collapsed="false">
      <c r="A10" s="1"/>
      <c r="B10" s="22" t="s">
        <v>8</v>
      </c>
      <c r="C10" s="27"/>
      <c r="D10" s="27"/>
      <c r="E10" s="27"/>
      <c r="F10" s="28"/>
      <c r="I10" s="17" t="s">
        <v>9</v>
      </c>
      <c r="J10" s="17"/>
      <c r="K10" s="17"/>
      <c r="L10" s="29"/>
      <c r="M10" s="29"/>
      <c r="N10" s="17"/>
      <c r="O10" s="17"/>
      <c r="P10" s="18"/>
      <c r="Q10" s="19"/>
      <c r="R10" s="19"/>
      <c r="S10" s="19"/>
      <c r="T10" s="19"/>
      <c r="U10" s="21"/>
      <c r="W10" s="26" t="s">
        <v>10</v>
      </c>
      <c r="X10" s="25"/>
      <c r="Y10" s="25"/>
      <c r="Z10" s="25"/>
      <c r="AA10" s="25"/>
      <c r="AB10" s="25"/>
      <c r="AC10" s="25"/>
      <c r="AD10" s="25"/>
      <c r="AE10" s="25"/>
      <c r="AF10" s="25" t="n">
        <v>2481</v>
      </c>
      <c r="AG10" s="26" t="s">
        <v>11</v>
      </c>
      <c r="AH10" s="26"/>
      <c r="AI10" s="7"/>
      <c r="AJ10" s="7"/>
      <c r="AK10" s="7"/>
      <c r="AL10" s="7"/>
      <c r="AM10" s="7"/>
      <c r="AN10" s="7"/>
      <c r="AO10" s="7"/>
      <c r="AP10" s="7"/>
      <c r="AQ10" s="7"/>
    </row>
    <row r="11" s="15" customFormat="true" ht="27" hidden="false" customHeight="true" outlineLevel="0" collapsed="false">
      <c r="A11" s="1"/>
      <c r="B11" s="30" t="s">
        <v>12</v>
      </c>
      <c r="C11" s="31"/>
      <c r="D11" s="31"/>
      <c r="E11" s="31"/>
      <c r="F11" s="31"/>
      <c r="I11" s="17" t="s">
        <v>13</v>
      </c>
      <c r="N11" s="32"/>
      <c r="O11" s="17"/>
      <c r="P11" s="17"/>
      <c r="Q11" s="17"/>
      <c r="R11" s="17"/>
      <c r="S11" s="17"/>
      <c r="T11" s="17"/>
      <c r="U11" s="18"/>
      <c r="W11" s="33" t="s">
        <v>14</v>
      </c>
      <c r="X11" s="33"/>
      <c r="Y11" s="33"/>
      <c r="Z11" s="33"/>
      <c r="AA11" s="33"/>
      <c r="AB11" s="33"/>
      <c r="AC11" s="33"/>
      <c r="AD11" s="33"/>
      <c r="AE11" s="33"/>
      <c r="AF11" s="25" t="n">
        <v>1.58</v>
      </c>
      <c r="AG11" s="26"/>
      <c r="AH11" s="26"/>
      <c r="AI11" s="7"/>
      <c r="AJ11" s="7"/>
      <c r="AK11" s="7"/>
      <c r="AL11" s="7"/>
      <c r="AM11" s="7"/>
      <c r="AN11" s="7"/>
      <c r="AO11" s="7"/>
      <c r="AP11" s="7"/>
      <c r="AQ11" s="7"/>
    </row>
    <row r="12" s="15" customFormat="true" ht="21.85" hidden="false" customHeight="true" outlineLevel="0" collapsed="false">
      <c r="A12" s="34"/>
      <c r="B12" s="20" t="s">
        <v>15</v>
      </c>
      <c r="C12" s="27"/>
      <c r="D12" s="27"/>
      <c r="E12" s="27"/>
      <c r="F12" s="28"/>
      <c r="I12" s="17" t="s">
        <v>16</v>
      </c>
      <c r="N12" s="17"/>
      <c r="O12" s="32"/>
      <c r="Q12" s="17"/>
      <c r="R12" s="17"/>
      <c r="S12" s="17"/>
      <c r="T12" s="17"/>
      <c r="U12" s="17"/>
      <c r="W12" s="26" t="s">
        <v>17</v>
      </c>
      <c r="X12" s="25"/>
      <c r="Y12" s="25"/>
      <c r="Z12" s="25"/>
      <c r="AA12" s="25"/>
      <c r="AB12" s="25"/>
      <c r="AC12" s="25"/>
      <c r="AD12" s="25"/>
      <c r="AE12" s="35" t="n">
        <v>1.6</v>
      </c>
      <c r="AF12" s="35" t="n">
        <v>1.4</v>
      </c>
      <c r="AG12" s="36" t="n">
        <v>1.8</v>
      </c>
      <c r="AH12" s="36" t="n">
        <v>1.8</v>
      </c>
      <c r="AI12" s="7"/>
      <c r="AJ12" s="7"/>
      <c r="AK12" s="7"/>
      <c r="AL12" s="7"/>
      <c r="AM12" s="7"/>
      <c r="AN12" s="7"/>
      <c r="AO12" s="7"/>
      <c r="AP12" s="7"/>
      <c r="AQ12" s="7"/>
    </row>
    <row r="13" s="15" customFormat="true" ht="10.9" hidden="false" customHeight="true" outlineLevel="0" collapsed="false">
      <c r="A13" s="34"/>
      <c r="C13" s="23"/>
      <c r="D13" s="23"/>
      <c r="E13" s="23"/>
      <c r="F13" s="32"/>
      <c r="I13" s="17" t="s">
        <v>18</v>
      </c>
      <c r="V13" s="21"/>
      <c r="W13" s="26" t="s">
        <v>19</v>
      </c>
      <c r="X13" s="25"/>
      <c r="Y13" s="25"/>
      <c r="Z13" s="25" t="n">
        <v>1987</v>
      </c>
      <c r="AA13" s="25"/>
      <c r="AB13" s="25"/>
      <c r="AC13" s="25"/>
      <c r="AD13" s="25"/>
      <c r="AE13" s="25"/>
      <c r="AF13" s="37" t="n">
        <f aca="false">$Z$13/12</f>
        <v>165.583333333333</v>
      </c>
      <c r="AG13" s="26" t="s">
        <v>20</v>
      </c>
      <c r="AH13" s="26" t="n">
        <v>164.75</v>
      </c>
      <c r="AI13" s="7"/>
      <c r="AJ13" s="7"/>
      <c r="AK13" s="7"/>
      <c r="AL13" s="7"/>
      <c r="AM13" s="7"/>
      <c r="AN13" s="7"/>
      <c r="AO13" s="7"/>
      <c r="AP13" s="7"/>
      <c r="AQ13" s="7"/>
    </row>
    <row r="14" s="15" customFormat="true" ht="18" hidden="false" customHeight="true" outlineLevel="0" collapsed="false">
      <c r="A14" s="34"/>
      <c r="G14" s="13" t="s">
        <v>21</v>
      </c>
      <c r="H14" s="13"/>
      <c r="I14" s="13"/>
      <c r="J14" s="13"/>
      <c r="K14" s="13"/>
      <c r="V14" s="21"/>
      <c r="W14" s="26" t="s">
        <v>22</v>
      </c>
      <c r="X14" s="25"/>
      <c r="Y14" s="25"/>
      <c r="Z14" s="25"/>
      <c r="AA14" s="25"/>
      <c r="AB14" s="25"/>
      <c r="AC14" s="25"/>
      <c r="AD14" s="25"/>
      <c r="AE14" s="25"/>
      <c r="AF14" s="38"/>
      <c r="AG14" s="26"/>
      <c r="AH14" s="26"/>
      <c r="AI14" s="7"/>
      <c r="AJ14" s="7"/>
      <c r="AK14" s="7"/>
      <c r="AL14" s="7"/>
      <c r="AM14" s="7"/>
      <c r="AN14" s="7"/>
      <c r="AO14" s="7"/>
      <c r="AP14" s="7"/>
      <c r="AQ14" s="7"/>
    </row>
    <row r="15" s="15" customFormat="true" ht="13.5" hidden="false" customHeight="true" outlineLevel="0" collapsed="false">
      <c r="A15" s="34"/>
      <c r="B15" s="2"/>
      <c r="C15" s="3"/>
      <c r="D15" s="3"/>
      <c r="E15" s="3"/>
      <c r="F15" s="3"/>
      <c r="G15" s="13" t="s">
        <v>23</v>
      </c>
      <c r="H15" s="13"/>
      <c r="I15" s="13"/>
      <c r="J15" s="13"/>
      <c r="K15" s="13"/>
      <c r="L15" s="4"/>
      <c r="M15" s="4"/>
      <c r="N15" s="4"/>
      <c r="O15" s="4"/>
      <c r="P15" s="4"/>
      <c r="Q15" s="4"/>
      <c r="R15" s="18"/>
      <c r="S15" s="18"/>
      <c r="T15" s="18"/>
      <c r="U15" s="18"/>
      <c r="V15" s="21"/>
      <c r="W15" s="26" t="s">
        <v>24</v>
      </c>
      <c r="X15" s="25"/>
      <c r="Y15" s="25"/>
      <c r="Z15" s="25"/>
      <c r="AA15" s="25"/>
      <c r="AB15" s="25"/>
      <c r="AC15" s="25"/>
      <c r="AD15" s="25"/>
      <c r="AE15" s="25"/>
      <c r="AF15" s="25"/>
      <c r="AG15" s="26"/>
      <c r="AH15" s="26"/>
      <c r="AI15" s="7"/>
      <c r="AJ15" s="7"/>
      <c r="AK15" s="7"/>
      <c r="AL15" s="7"/>
      <c r="AM15" s="7"/>
      <c r="AN15" s="7"/>
      <c r="AO15" s="7"/>
      <c r="AP15" s="7"/>
      <c r="AQ15" s="7"/>
    </row>
    <row r="16" s="15" customFormat="true" ht="18" hidden="false" customHeight="true" outlineLevel="0" collapsed="false">
      <c r="A16" s="34"/>
      <c r="B16" s="1" t="s">
        <v>25</v>
      </c>
      <c r="C16" s="3"/>
      <c r="D16" s="3"/>
      <c r="E16" s="3"/>
      <c r="F16" s="3"/>
      <c r="G16" s="10" t="s">
        <v>26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8"/>
      <c r="S16" s="18"/>
      <c r="T16" s="18"/>
      <c r="U16" s="18"/>
      <c r="V16" s="21"/>
      <c r="W16" s="39" t="s">
        <v>27</v>
      </c>
      <c r="X16" s="25" t="s">
        <v>28</v>
      </c>
      <c r="Y16" s="25"/>
      <c r="Z16" s="25"/>
      <c r="AA16" s="25"/>
      <c r="AB16" s="25"/>
      <c r="AC16" s="25"/>
      <c r="AD16" s="25" t="s">
        <v>28</v>
      </c>
      <c r="AE16" s="25"/>
      <c r="AF16" s="25"/>
      <c r="AG16" s="25"/>
      <c r="AH16" s="25"/>
      <c r="AI16" s="25"/>
      <c r="AJ16" s="7"/>
      <c r="AK16" s="7"/>
      <c r="AL16" s="7"/>
      <c r="AM16" s="7"/>
      <c r="AN16" s="7"/>
      <c r="AO16" s="7"/>
      <c r="AP16" s="7"/>
      <c r="AQ16" s="7"/>
    </row>
    <row r="17" s="15" customFormat="true" ht="45" hidden="false" customHeight="true" outlineLevel="0" collapsed="false">
      <c r="A17" s="40" t="s">
        <v>29</v>
      </c>
      <c r="B17" s="41" t="s">
        <v>30</v>
      </c>
      <c r="C17" s="42" t="s">
        <v>31</v>
      </c>
      <c r="D17" s="43" t="s">
        <v>32</v>
      </c>
      <c r="E17" s="44" t="s">
        <v>33</v>
      </c>
      <c r="F17" s="44"/>
      <c r="G17" s="41" t="s">
        <v>34</v>
      </c>
      <c r="H17" s="41" t="s">
        <v>35</v>
      </c>
      <c r="I17" s="42" t="s">
        <v>36</v>
      </c>
      <c r="J17" s="45" t="s">
        <v>37</v>
      </c>
      <c r="K17" s="45"/>
      <c r="L17" s="45" t="s">
        <v>38</v>
      </c>
      <c r="M17" s="45"/>
      <c r="N17" s="46"/>
      <c r="O17" s="46"/>
      <c r="P17" s="45" t="s">
        <v>39</v>
      </c>
      <c r="Q17" s="45"/>
      <c r="R17" s="45"/>
      <c r="S17" s="45"/>
      <c r="T17" s="41" t="s">
        <v>40</v>
      </c>
      <c r="U17" s="41" t="s">
        <v>41</v>
      </c>
      <c r="V17" s="47" t="s">
        <v>42</v>
      </c>
      <c r="W17" s="39"/>
      <c r="X17" s="25" t="s">
        <v>43</v>
      </c>
      <c r="Y17" s="25" t="s">
        <v>44</v>
      </c>
      <c r="Z17" s="25" t="s">
        <v>45</v>
      </c>
      <c r="AA17" s="25" t="s">
        <v>46</v>
      </c>
      <c r="AB17" s="25" t="s">
        <v>47</v>
      </c>
      <c r="AC17" s="25" t="s">
        <v>48</v>
      </c>
      <c r="AD17" s="25" t="s">
        <v>43</v>
      </c>
      <c r="AE17" s="25" t="s">
        <v>44</v>
      </c>
      <c r="AF17" s="25" t="s">
        <v>45</v>
      </c>
      <c r="AG17" s="25" t="s">
        <v>46</v>
      </c>
      <c r="AH17" s="25" t="s">
        <v>47</v>
      </c>
      <c r="AI17" s="25" t="s">
        <v>48</v>
      </c>
      <c r="AJ17" s="7"/>
      <c r="AK17" s="7"/>
      <c r="AL17" s="7"/>
      <c r="AM17" s="7"/>
      <c r="AN17" s="7"/>
      <c r="AO17" s="7"/>
      <c r="AP17" s="7"/>
      <c r="AQ17" s="7"/>
    </row>
    <row r="18" customFormat="false" ht="59.25" hidden="false" customHeight="true" outlineLevel="0" collapsed="false">
      <c r="A18" s="40"/>
      <c r="B18" s="41"/>
      <c r="C18" s="42"/>
      <c r="D18" s="43"/>
      <c r="E18" s="48" t="s">
        <v>49</v>
      </c>
      <c r="F18" s="48" t="s">
        <v>50</v>
      </c>
      <c r="G18" s="41"/>
      <c r="H18" s="41"/>
      <c r="I18" s="42"/>
      <c r="J18" s="49" t="n">
        <v>0.1</v>
      </c>
      <c r="K18" s="50" t="s">
        <v>51</v>
      </c>
      <c r="L18" s="48" t="s">
        <v>52</v>
      </c>
      <c r="M18" s="48" t="s">
        <v>53</v>
      </c>
      <c r="N18" s="48" t="s">
        <v>54</v>
      </c>
      <c r="O18" s="48"/>
      <c r="P18" s="48" t="s">
        <v>55</v>
      </c>
      <c r="Q18" s="48" t="s">
        <v>56</v>
      </c>
      <c r="R18" s="48" t="s">
        <v>57</v>
      </c>
      <c r="S18" s="48" t="s">
        <v>58</v>
      </c>
      <c r="T18" s="41"/>
      <c r="U18" s="41"/>
      <c r="V18" s="51" t="s">
        <v>59</v>
      </c>
      <c r="W18" s="39"/>
      <c r="X18" s="25" t="s">
        <v>60</v>
      </c>
      <c r="Y18" s="25"/>
      <c r="Z18" s="25"/>
      <c r="AA18" s="25"/>
      <c r="AB18" s="25"/>
      <c r="AC18" s="25"/>
      <c r="AD18" s="25" t="s">
        <v>60</v>
      </c>
      <c r="AE18" s="25"/>
      <c r="AF18" s="25"/>
      <c r="AG18" s="25"/>
      <c r="AH18" s="25"/>
      <c r="AI18" s="25"/>
    </row>
    <row r="19" s="57" customFormat="true" ht="19.5" hidden="false" customHeight="true" outlineLevel="0" collapsed="false">
      <c r="A19" s="52" t="s">
        <v>61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3" t="s">
        <v>62</v>
      </c>
      <c r="X19" s="39" t="n">
        <v>1</v>
      </c>
      <c r="Y19" s="54" t="n">
        <v>1.08</v>
      </c>
      <c r="Z19" s="39" t="n">
        <v>1.2</v>
      </c>
      <c r="AA19" s="39" t="n">
        <v>1.35</v>
      </c>
      <c r="AB19" s="39" t="n">
        <v>1.54</v>
      </c>
      <c r="AC19" s="39" t="n">
        <v>1.8</v>
      </c>
      <c r="AD19" s="39" t="n">
        <v>1</v>
      </c>
      <c r="AE19" s="54" t="n">
        <v>1.08</v>
      </c>
      <c r="AF19" s="39" t="n">
        <v>1.2</v>
      </c>
      <c r="AG19" s="39" t="n">
        <v>1.35</v>
      </c>
      <c r="AH19" s="39" t="n">
        <v>1.54</v>
      </c>
      <c r="AI19" s="39" t="n">
        <v>1.8</v>
      </c>
      <c r="AJ19" s="55"/>
      <c r="AK19" s="55"/>
      <c r="AL19" s="55"/>
      <c r="AM19" s="56"/>
      <c r="AN19" s="56"/>
      <c r="AO19" s="56"/>
      <c r="AP19" s="56"/>
      <c r="AQ19" s="56"/>
    </row>
    <row r="20" s="66" customFormat="true" ht="18.75" hidden="false" customHeight="true" outlineLevel="0" collapsed="false">
      <c r="A20" s="58" t="n">
        <v>1</v>
      </c>
      <c r="B20" s="59" t="s">
        <v>63</v>
      </c>
      <c r="C20" s="60" t="n">
        <v>1</v>
      </c>
      <c r="D20" s="61" t="s">
        <v>64</v>
      </c>
      <c r="E20" s="61"/>
      <c r="F20" s="60"/>
      <c r="G20" s="62" t="n">
        <v>33955</v>
      </c>
      <c r="H20" s="62" t="n">
        <f aca="false">C20*G20</f>
        <v>33955</v>
      </c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 t="n">
        <f aca="false">H20+I20+K20+L20+M20+N20+O20+P20+Q20+R20+S20</f>
        <v>33955</v>
      </c>
      <c r="V20" s="63" t="n">
        <f aca="false">(U20*$AK$20)</f>
        <v>407460</v>
      </c>
      <c r="W20" s="53"/>
      <c r="X20" s="39"/>
      <c r="Y20" s="54"/>
      <c r="Z20" s="39"/>
      <c r="AA20" s="39"/>
      <c r="AB20" s="39"/>
      <c r="AC20" s="39"/>
      <c r="AD20" s="39"/>
      <c r="AE20" s="54"/>
      <c r="AF20" s="39"/>
      <c r="AG20" s="39"/>
      <c r="AH20" s="39"/>
      <c r="AI20" s="39"/>
      <c r="AJ20" s="64"/>
      <c r="AK20" s="64" t="n">
        <v>12</v>
      </c>
      <c r="AL20" s="64"/>
      <c r="AM20" s="65"/>
      <c r="AN20" s="65"/>
      <c r="AO20" s="65"/>
      <c r="AP20" s="65"/>
      <c r="AQ20" s="65"/>
    </row>
    <row r="21" s="66" customFormat="true" ht="28.5" hidden="false" customHeight="true" outlineLevel="0" collapsed="false">
      <c r="A21" s="67" t="n">
        <v>2</v>
      </c>
      <c r="B21" s="68" t="s">
        <v>65</v>
      </c>
      <c r="C21" s="69" t="n">
        <v>1</v>
      </c>
      <c r="D21" s="70" t="n">
        <v>3</v>
      </c>
      <c r="E21" s="69"/>
      <c r="F21" s="69"/>
      <c r="G21" s="71" t="n">
        <f aca="false">ROUND($AF$10*$AF$11*D21*$AF$12,0)</f>
        <v>16464</v>
      </c>
      <c r="H21" s="71" t="n">
        <f aca="false">C21*G21</f>
        <v>16464</v>
      </c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 t="n">
        <f aca="false">H21+I21+K21+L21+M21+N21+O21+P21+Q21+R21+S21</f>
        <v>16464</v>
      </c>
      <c r="V21" s="72" t="n">
        <f aca="false">(U21*$AK$20)</f>
        <v>197568</v>
      </c>
      <c r="W21" s="53"/>
      <c r="X21" s="39"/>
      <c r="Y21" s="54"/>
      <c r="Z21" s="39"/>
      <c r="AA21" s="39"/>
      <c r="AB21" s="39"/>
      <c r="AC21" s="39"/>
      <c r="AD21" s="39"/>
      <c r="AE21" s="54"/>
      <c r="AF21" s="39"/>
      <c r="AG21" s="39"/>
      <c r="AH21" s="39"/>
      <c r="AI21" s="39"/>
      <c r="AJ21" s="64"/>
      <c r="AK21" s="64"/>
      <c r="AL21" s="64"/>
      <c r="AM21" s="65"/>
      <c r="AN21" s="65"/>
      <c r="AO21" s="65"/>
      <c r="AP21" s="65"/>
      <c r="AQ21" s="65"/>
    </row>
    <row r="22" s="66" customFormat="true" ht="18.75" hidden="false" customHeight="true" outlineLevel="0" collapsed="false">
      <c r="A22" s="67" t="n">
        <v>3</v>
      </c>
      <c r="B22" s="68" t="s">
        <v>66</v>
      </c>
      <c r="C22" s="69" t="n">
        <v>1</v>
      </c>
      <c r="D22" s="14" t="n">
        <v>3</v>
      </c>
      <c r="E22" s="69"/>
      <c r="F22" s="69"/>
      <c r="G22" s="71" t="n">
        <f aca="false">ROUND($AF$10*$AF$11*D22*$AF$12,0)</f>
        <v>16464</v>
      </c>
      <c r="H22" s="71" t="n">
        <f aca="false">C22*G22</f>
        <v>16464</v>
      </c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 t="n">
        <f aca="false">H22+I22+K22+L22+M22+N22+O22+P22+Q22+R22+S22</f>
        <v>16464</v>
      </c>
      <c r="V22" s="72" t="n">
        <f aca="false">(U22*$AK$20)</f>
        <v>197568</v>
      </c>
      <c r="W22" s="53"/>
      <c r="X22" s="39"/>
      <c r="Y22" s="54"/>
      <c r="Z22" s="39"/>
      <c r="AA22" s="39"/>
      <c r="AB22" s="39"/>
      <c r="AC22" s="39"/>
      <c r="AD22" s="39"/>
      <c r="AE22" s="54"/>
      <c r="AF22" s="39"/>
      <c r="AG22" s="39"/>
      <c r="AH22" s="39"/>
      <c r="AI22" s="39"/>
      <c r="AJ22" s="64"/>
      <c r="AK22" s="64"/>
      <c r="AL22" s="64"/>
      <c r="AM22" s="65"/>
      <c r="AN22" s="65"/>
      <c r="AO22" s="65"/>
      <c r="AP22" s="65"/>
      <c r="AQ22" s="65"/>
    </row>
    <row r="23" s="66" customFormat="true" ht="18.75" hidden="false" customHeight="true" outlineLevel="0" collapsed="false">
      <c r="A23" s="67" t="n">
        <v>4</v>
      </c>
      <c r="B23" s="68" t="s">
        <v>67</v>
      </c>
      <c r="C23" s="69" t="n">
        <v>1</v>
      </c>
      <c r="D23" s="14" t="n">
        <v>2.9</v>
      </c>
      <c r="E23" s="69"/>
      <c r="F23" s="69"/>
      <c r="G23" s="71" t="n">
        <f aca="false">ROUND($AF$10*$AF$11*D23*$AF$12,0)</f>
        <v>15915</v>
      </c>
      <c r="H23" s="71" t="n">
        <f aca="false">C23*G23</f>
        <v>15915</v>
      </c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3"/>
      <c r="U23" s="71" t="n">
        <f aca="false">H23+I23+K23+L23+M23+N23+O23+P23+Q23+R23+S23</f>
        <v>15915</v>
      </c>
      <c r="V23" s="72" t="n">
        <f aca="false">(U23*$AK$20)</f>
        <v>190980</v>
      </c>
      <c r="W23" s="53"/>
      <c r="X23" s="39"/>
      <c r="Y23" s="54"/>
      <c r="Z23" s="39"/>
      <c r="AA23" s="39"/>
      <c r="AB23" s="39"/>
      <c r="AC23" s="39"/>
      <c r="AD23" s="39"/>
      <c r="AE23" s="54"/>
      <c r="AF23" s="39"/>
      <c r="AG23" s="39"/>
      <c r="AH23" s="39"/>
      <c r="AI23" s="39"/>
      <c r="AJ23" s="64"/>
      <c r="AK23" s="64"/>
      <c r="AL23" s="64"/>
      <c r="AM23" s="65"/>
      <c r="AN23" s="65"/>
      <c r="AO23" s="65"/>
      <c r="AP23" s="65"/>
      <c r="AQ23" s="65"/>
    </row>
    <row r="24" s="66" customFormat="true" ht="18.75" hidden="false" customHeight="true" outlineLevel="0" collapsed="false">
      <c r="A24" s="67" t="n">
        <v>5</v>
      </c>
      <c r="B24" s="74" t="s">
        <v>68</v>
      </c>
      <c r="C24" s="75" t="n">
        <v>1</v>
      </c>
      <c r="D24" s="76" t="n">
        <v>2.4</v>
      </c>
      <c r="E24" s="75"/>
      <c r="F24" s="75"/>
      <c r="G24" s="77" t="n">
        <f aca="false">ROUND($AF$10*$AF$11*D24*$AF$12,0)</f>
        <v>13171</v>
      </c>
      <c r="H24" s="77" t="n">
        <f aca="false">C24*G24</f>
        <v>13171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1" t="n">
        <f aca="false">H24+I24+K24+L24+M24+N24+O24+P24+Q24+R24+S24</f>
        <v>13171</v>
      </c>
      <c r="V24" s="72" t="n">
        <f aca="false">(U24*$AK$20)</f>
        <v>158052</v>
      </c>
      <c r="W24" s="53"/>
      <c r="X24" s="25" t="s">
        <v>69</v>
      </c>
      <c r="Y24" s="25"/>
      <c r="Z24" s="25"/>
      <c r="AA24" s="25"/>
      <c r="AB24" s="25"/>
      <c r="AC24" s="25"/>
      <c r="AD24" s="25" t="s">
        <v>69</v>
      </c>
      <c r="AE24" s="25"/>
      <c r="AF24" s="25"/>
      <c r="AG24" s="25"/>
      <c r="AH24" s="25"/>
      <c r="AI24" s="25"/>
      <c r="AJ24" s="64"/>
      <c r="AK24" s="64"/>
      <c r="AL24" s="64"/>
      <c r="AM24" s="65"/>
      <c r="AN24" s="65"/>
      <c r="AO24" s="65"/>
      <c r="AP24" s="65"/>
      <c r="AQ24" s="65"/>
    </row>
    <row r="25" s="66" customFormat="true" ht="28.5" hidden="false" customHeight="true" outlineLevel="0" collapsed="false">
      <c r="A25" s="67" t="n">
        <v>6</v>
      </c>
      <c r="B25" s="68" t="s">
        <v>70</v>
      </c>
      <c r="C25" s="69" t="n">
        <v>1</v>
      </c>
      <c r="D25" s="14" t="n">
        <v>1.7</v>
      </c>
      <c r="E25" s="69"/>
      <c r="F25" s="69"/>
      <c r="G25" s="71" t="n">
        <f aca="false">ROUND($AF$10*$AF$11*D25*$AF$12,0)</f>
        <v>9330</v>
      </c>
      <c r="H25" s="71" t="n">
        <f aca="false">C25*G25</f>
        <v>9330</v>
      </c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 t="n">
        <f aca="false">H25+I25+K25+L25+M25+N25+O25+P25+Q25+R25+S25</f>
        <v>9330</v>
      </c>
      <c r="V25" s="72" t="n">
        <f aca="false">(U25*$AK$20)</f>
        <v>111960</v>
      </c>
      <c r="W25" s="53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64"/>
      <c r="AK25" s="64"/>
      <c r="AL25" s="64"/>
      <c r="AM25" s="65"/>
      <c r="AN25" s="65"/>
      <c r="AO25" s="65"/>
      <c r="AP25" s="65"/>
      <c r="AQ25" s="65"/>
    </row>
    <row r="26" s="66" customFormat="true" ht="28.5" hidden="false" customHeight="true" outlineLevel="0" collapsed="false">
      <c r="A26" s="67" t="n">
        <v>7</v>
      </c>
      <c r="B26" s="68" t="s">
        <v>71</v>
      </c>
      <c r="C26" s="69" t="n">
        <v>1</v>
      </c>
      <c r="D26" s="14" t="n">
        <v>1.7</v>
      </c>
      <c r="E26" s="69"/>
      <c r="F26" s="69"/>
      <c r="G26" s="71" t="n">
        <f aca="false">ROUND($AF$10*$AF$11*D26*$AF$12,0)</f>
        <v>9330</v>
      </c>
      <c r="H26" s="71" t="n">
        <f aca="false">C26*G26</f>
        <v>9330</v>
      </c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 t="n">
        <f aca="false">H26+I26+K26+L26+M26+N26+O26+P26+Q26+R26+S26</f>
        <v>9330</v>
      </c>
      <c r="V26" s="72" t="n">
        <f aca="false">(U26*$AK$20)</f>
        <v>111960</v>
      </c>
      <c r="W26" s="53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64"/>
      <c r="AK26" s="64"/>
      <c r="AL26" s="64"/>
      <c r="AM26" s="65"/>
      <c r="AN26" s="65"/>
      <c r="AO26" s="65"/>
      <c r="AP26" s="65"/>
      <c r="AQ26" s="65"/>
    </row>
    <row r="27" s="66" customFormat="true" ht="16.5" hidden="false" customHeight="true" outlineLevel="0" collapsed="false">
      <c r="A27" s="67" t="n">
        <v>8</v>
      </c>
      <c r="B27" s="68" t="s">
        <v>72</v>
      </c>
      <c r="C27" s="69" t="n">
        <v>1</v>
      </c>
      <c r="D27" s="14" t="n">
        <v>1.7</v>
      </c>
      <c r="E27" s="69"/>
      <c r="F27" s="69"/>
      <c r="G27" s="71" t="n">
        <f aca="false">ROUND($AF$10*$AF$11*D27*$AF$12,0)</f>
        <v>9330</v>
      </c>
      <c r="H27" s="71" t="n">
        <f aca="false">C27*G27</f>
        <v>9330</v>
      </c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 t="n">
        <f aca="false">H27+I27+K27+L27+M27+N27+O27+P27+Q27+R27+S27</f>
        <v>9330</v>
      </c>
      <c r="V27" s="72" t="n">
        <f aca="false">(U27*$AK$20)</f>
        <v>111960</v>
      </c>
      <c r="W27" s="53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64"/>
      <c r="AK27" s="64"/>
      <c r="AL27" s="64"/>
      <c r="AM27" s="65"/>
      <c r="AN27" s="65"/>
      <c r="AO27" s="65"/>
      <c r="AP27" s="65"/>
      <c r="AQ27" s="65"/>
    </row>
    <row r="28" s="66" customFormat="true" ht="16.5" hidden="false" customHeight="true" outlineLevel="0" collapsed="false">
      <c r="A28" s="67" t="n">
        <v>9</v>
      </c>
      <c r="B28" s="68" t="s">
        <v>73</v>
      </c>
      <c r="C28" s="69" t="n">
        <v>1</v>
      </c>
      <c r="D28" s="14" t="n">
        <v>1.75</v>
      </c>
      <c r="E28" s="69"/>
      <c r="F28" s="69"/>
      <c r="G28" s="71" t="n">
        <f aca="false">ROUND($AF$10*$AF$11*D28*$AF$12,0)</f>
        <v>9604</v>
      </c>
      <c r="H28" s="71" t="n">
        <f aca="false">C28*G28</f>
        <v>9604</v>
      </c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 t="n">
        <f aca="false">H28+I28+K28+L28+M28+N28+O28+P28+Q28+R28+S28</f>
        <v>9604</v>
      </c>
      <c r="V28" s="72" t="n">
        <f aca="false">(U28*$AK$20)</f>
        <v>115248</v>
      </c>
      <c r="W28" s="53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64"/>
      <c r="AK28" s="64"/>
      <c r="AL28" s="64"/>
      <c r="AM28" s="65"/>
      <c r="AN28" s="65"/>
      <c r="AO28" s="65"/>
      <c r="AP28" s="65"/>
      <c r="AQ28" s="65"/>
    </row>
    <row r="29" s="66" customFormat="true" ht="16.5" hidden="false" customHeight="true" outlineLevel="0" collapsed="false">
      <c r="A29" s="67" t="n">
        <v>10</v>
      </c>
      <c r="B29" s="68" t="s">
        <v>74</v>
      </c>
      <c r="C29" s="69" t="n">
        <v>1</v>
      </c>
      <c r="D29" s="14" t="n">
        <v>1.7</v>
      </c>
      <c r="E29" s="69"/>
      <c r="F29" s="69"/>
      <c r="G29" s="71" t="n">
        <f aca="false">ROUND($AF$10*$AF$11*D29*$AF$12,0)</f>
        <v>9330</v>
      </c>
      <c r="H29" s="71" t="n">
        <f aca="false">C29*G29</f>
        <v>9330</v>
      </c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 t="n">
        <f aca="false">H29+I29+K29+L29+M29+N29+O29+P29+Q29+R29+S29</f>
        <v>9330</v>
      </c>
      <c r="V29" s="72" t="n">
        <f aca="false">(U29*$AK$20)</f>
        <v>111960</v>
      </c>
      <c r="W29" s="53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64"/>
      <c r="AK29" s="64"/>
      <c r="AL29" s="64"/>
      <c r="AM29" s="65"/>
      <c r="AN29" s="65"/>
      <c r="AO29" s="65"/>
      <c r="AP29" s="65"/>
      <c r="AQ29" s="65"/>
    </row>
    <row r="30" s="66" customFormat="true" ht="16.5" hidden="false" customHeight="true" outlineLevel="0" collapsed="false">
      <c r="A30" s="67" t="n">
        <v>11</v>
      </c>
      <c r="B30" s="68" t="s">
        <v>75</v>
      </c>
      <c r="C30" s="69" t="n">
        <v>1</v>
      </c>
      <c r="D30" s="14" t="n">
        <v>1.5</v>
      </c>
      <c r="E30" s="69"/>
      <c r="F30" s="69"/>
      <c r="G30" s="71" t="n">
        <f aca="false">ROUND($AF$10*$AF$11*D30*$AF$12,0)</f>
        <v>8232</v>
      </c>
      <c r="H30" s="71" t="n">
        <f aca="false">C30*G30</f>
        <v>8232</v>
      </c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 t="n">
        <f aca="false">H30+I30+K30+L30+M30+N30+O30+P30+Q30+R30+S30</f>
        <v>8232</v>
      </c>
      <c r="V30" s="72" t="n">
        <f aca="false">(U30*$AK$20)</f>
        <v>98784</v>
      </c>
      <c r="W30" s="53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64"/>
      <c r="AK30" s="64"/>
      <c r="AL30" s="64"/>
      <c r="AM30" s="65"/>
      <c r="AN30" s="65"/>
      <c r="AO30" s="65"/>
      <c r="AP30" s="65"/>
      <c r="AQ30" s="65"/>
    </row>
    <row r="31" s="66" customFormat="true" ht="16.5" hidden="false" customHeight="true" outlineLevel="0" collapsed="false">
      <c r="A31" s="67" t="n">
        <v>12</v>
      </c>
      <c r="B31" s="68" t="s">
        <v>76</v>
      </c>
      <c r="C31" s="69" t="n">
        <v>1</v>
      </c>
      <c r="D31" s="14" t="n">
        <v>2.4</v>
      </c>
      <c r="E31" s="69"/>
      <c r="F31" s="69"/>
      <c r="G31" s="71" t="n">
        <f aca="false">ROUND($AF$10*$AF$11*D31*$AF$12,0)</f>
        <v>13171</v>
      </c>
      <c r="H31" s="71" t="n">
        <f aca="false">C31*G31</f>
        <v>13171</v>
      </c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 t="n">
        <f aca="false">H31+I31+K31+L31+M31+N31+O31+P31+Q31+R31+S31</f>
        <v>13171</v>
      </c>
      <c r="V31" s="72" t="n">
        <f aca="false">(U31*$AK$20)</f>
        <v>158052</v>
      </c>
      <c r="W31" s="53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64"/>
      <c r="AK31" s="64"/>
      <c r="AL31" s="64"/>
      <c r="AM31" s="65"/>
      <c r="AN31" s="65"/>
      <c r="AO31" s="65"/>
      <c r="AP31" s="65"/>
      <c r="AQ31" s="65"/>
    </row>
    <row r="32" s="66" customFormat="true" ht="16.5" hidden="false" customHeight="true" outlineLevel="0" collapsed="false">
      <c r="A32" s="67" t="n">
        <v>13</v>
      </c>
      <c r="B32" s="68" t="s">
        <v>77</v>
      </c>
      <c r="C32" s="69" t="n">
        <v>1</v>
      </c>
      <c r="D32" s="14" t="n">
        <v>1.75</v>
      </c>
      <c r="E32" s="69"/>
      <c r="F32" s="69"/>
      <c r="G32" s="71" t="n">
        <f aca="false">ROUND($AF$10*$AF$11*D32*$AF$12,0)</f>
        <v>9604</v>
      </c>
      <c r="H32" s="71" t="n">
        <f aca="false">C32*G32</f>
        <v>9604</v>
      </c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 t="n">
        <f aca="false">H32+I32+K32+L32+M32+N32+O32+P32+Q32+R32+S32</f>
        <v>9604</v>
      </c>
      <c r="V32" s="72" t="n">
        <f aca="false">(U32*$AK$20)</f>
        <v>115248</v>
      </c>
      <c r="W32" s="53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64"/>
      <c r="AK32" s="64"/>
      <c r="AL32" s="64"/>
      <c r="AM32" s="65"/>
      <c r="AN32" s="65"/>
      <c r="AO32" s="65"/>
      <c r="AP32" s="65"/>
      <c r="AQ32" s="65"/>
    </row>
    <row r="33" s="66" customFormat="true" ht="16.5" hidden="false" customHeight="true" outlineLevel="0" collapsed="false">
      <c r="A33" s="67" t="n">
        <v>14</v>
      </c>
      <c r="B33" s="68" t="s">
        <v>78</v>
      </c>
      <c r="C33" s="69" t="n">
        <v>1</v>
      </c>
      <c r="D33" s="14" t="n">
        <v>1.5</v>
      </c>
      <c r="E33" s="69"/>
      <c r="F33" s="69"/>
      <c r="G33" s="71" t="n">
        <f aca="false">ROUND($AF$10*$AF$11*D33*$AF$12,0)</f>
        <v>8232</v>
      </c>
      <c r="H33" s="71" t="n">
        <f aca="false">C33*G33</f>
        <v>8232</v>
      </c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 t="n">
        <f aca="false">H33+I33+K33+L33+M33+N33+O33+P33+Q33+R33+S33</f>
        <v>8232</v>
      </c>
      <c r="V33" s="72" t="n">
        <f aca="false">(U33*$AK$20)</f>
        <v>98784</v>
      </c>
      <c r="W33" s="53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64"/>
      <c r="AK33" s="64"/>
      <c r="AL33" s="64"/>
      <c r="AM33" s="65"/>
      <c r="AN33" s="65"/>
      <c r="AO33" s="65"/>
      <c r="AP33" s="65"/>
      <c r="AQ33" s="65"/>
    </row>
    <row r="34" s="66" customFormat="true" ht="16.5" hidden="false" customHeight="true" outlineLevel="0" collapsed="false">
      <c r="A34" s="78" t="n">
        <v>15</v>
      </c>
      <c r="B34" s="79" t="s">
        <v>79</v>
      </c>
      <c r="C34" s="80" t="n">
        <v>1</v>
      </c>
      <c r="D34" s="81" t="n">
        <v>1.75</v>
      </c>
      <c r="E34" s="80"/>
      <c r="F34" s="80"/>
      <c r="G34" s="82" t="n">
        <f aca="false">ROUND($AF$10*$AF$11*D34*$AF$12,0)</f>
        <v>9604</v>
      </c>
      <c r="H34" s="82" t="n">
        <f aca="false">C34*G34</f>
        <v>9604</v>
      </c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 t="n">
        <f aca="false">H34+I34+K34+L34+M34+N34+O34+P34+Q34+R34+S34</f>
        <v>9604</v>
      </c>
      <c r="V34" s="83" t="n">
        <f aca="false">(U34*$AK$20)</f>
        <v>115248</v>
      </c>
      <c r="W34" s="53"/>
      <c r="X34" s="37" t="n">
        <f aca="false">ROUND(($AF$10*$AF$11*$AE$12*X19)/$AF$13,2)</f>
        <v>37.88</v>
      </c>
      <c r="Y34" s="37" t="n">
        <f aca="false">ROUND(($AF$10*$AF$11*$AE$12*Y19)/$AF$13,2)</f>
        <v>40.91</v>
      </c>
      <c r="Z34" s="37" t="n">
        <f aca="false">ROUND(($AF$10*$AF$11*$AE$12*Z19)/$AF$13,2)</f>
        <v>45.45</v>
      </c>
      <c r="AA34" s="37" t="n">
        <f aca="false">ROUND(($AF$10*$AF$11*$AE$12*AA19)/$AF$13,2)</f>
        <v>51.14</v>
      </c>
      <c r="AB34" s="37" t="n">
        <f aca="false">ROUND(($AF$10*$AF$11*$AE$12*AB19)/$AF$13,2)</f>
        <v>58.33</v>
      </c>
      <c r="AC34" s="37" t="n">
        <f aca="false">ROUND(($AF$10*$AF$11*$AE$12*AC19)/$AF$13,2)</f>
        <v>68.18</v>
      </c>
      <c r="AD34" s="37" t="n">
        <f aca="false">ROUND(($AF$10*$AF$11*$AG$12*AD19)/$AF$13,2)</f>
        <v>42.61</v>
      </c>
      <c r="AE34" s="37" t="n">
        <f aca="false">ROUND(($AF$10*$AF$11*$AG$12*AE19)/$AF$13,2)</f>
        <v>46.02</v>
      </c>
      <c r="AF34" s="37" t="n">
        <f aca="false">ROUND(($AF$10*$AF$11*$AG$12*AF19)/$AF$13,2)</f>
        <v>51.14</v>
      </c>
      <c r="AG34" s="37" t="n">
        <f aca="false">ROUND(($AF$10*$AF$11*$AG$12*AG19)/$AF$13,2)</f>
        <v>57.53</v>
      </c>
      <c r="AH34" s="37" t="n">
        <f aca="false">ROUND(($AF$10*$AF$11*$AG$12*AH19)/$AF$13,2)</f>
        <v>65.62</v>
      </c>
      <c r="AI34" s="37" t="n">
        <f aca="false">ROUND(($AF$10*$AF$11*$AG$12*AI19)/$AF$13,2)</f>
        <v>76.7</v>
      </c>
      <c r="AJ34" s="64"/>
      <c r="AK34" s="64"/>
      <c r="AL34" s="64"/>
      <c r="AM34" s="65"/>
      <c r="AN34" s="65"/>
      <c r="AO34" s="65"/>
      <c r="AP34" s="65"/>
      <c r="AQ34" s="65"/>
    </row>
    <row r="35" s="93" customFormat="true" ht="43.5" hidden="false" customHeight="true" outlineLevel="0" collapsed="false">
      <c r="A35" s="84" t="s">
        <v>80</v>
      </c>
      <c r="B35" s="84"/>
      <c r="C35" s="85" t="n">
        <f aca="false">SUM(C20:C34)</f>
        <v>15</v>
      </c>
      <c r="D35" s="86"/>
      <c r="E35" s="85"/>
      <c r="F35" s="85"/>
      <c r="G35" s="87" t="n">
        <f aca="false">SUM(G20:G34)</f>
        <v>191736</v>
      </c>
      <c r="H35" s="87" t="n">
        <f aca="false">SUM(H20:H34)</f>
        <v>191736</v>
      </c>
      <c r="I35" s="87" t="n">
        <f aca="false">SUM(I20:I34)</f>
        <v>0</v>
      </c>
      <c r="J35" s="87"/>
      <c r="K35" s="87" t="n">
        <f aca="false">SUM(K20:K34)</f>
        <v>0</v>
      </c>
      <c r="L35" s="87" t="n">
        <f aca="false">SUM(L20:L34)</f>
        <v>0</v>
      </c>
      <c r="M35" s="87" t="n">
        <f aca="false">SUM(M20:M34)</f>
        <v>0</v>
      </c>
      <c r="N35" s="87" t="n">
        <f aca="false">SUM(N20:N34)</f>
        <v>0</v>
      </c>
      <c r="O35" s="87" t="n">
        <f aca="false">SUM(O20:O34)</f>
        <v>0</v>
      </c>
      <c r="P35" s="87" t="n">
        <f aca="false">SUM(P20:P34)</f>
        <v>0</v>
      </c>
      <c r="Q35" s="87" t="n">
        <f aca="false">SUM(Q20:Q34)</f>
        <v>0</v>
      </c>
      <c r="R35" s="87"/>
      <c r="S35" s="87"/>
      <c r="T35" s="87"/>
      <c r="U35" s="87" t="n">
        <f aca="false">SUM(U20:U34)</f>
        <v>191736</v>
      </c>
      <c r="V35" s="88" t="n">
        <f aca="false">SUM(V20:V34)</f>
        <v>2300832</v>
      </c>
      <c r="W35" s="89" t="n">
        <f aca="false">V35*22%</f>
        <v>506183.04</v>
      </c>
      <c r="X35" s="90" t="s">
        <v>81</v>
      </c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1"/>
      <c r="AJ35" s="91"/>
      <c r="AK35" s="91"/>
      <c r="AL35" s="91"/>
      <c r="AM35" s="92"/>
      <c r="AN35" s="92"/>
      <c r="AO35" s="92"/>
      <c r="AP35" s="92"/>
      <c r="AQ35" s="92"/>
    </row>
    <row r="36" s="104" customFormat="true" ht="21" hidden="false" customHeight="true" outlineLevel="0" collapsed="false">
      <c r="A36" s="94" t="s">
        <v>82</v>
      </c>
      <c r="B36" s="95"/>
      <c r="C36" s="96"/>
      <c r="D36" s="97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8"/>
      <c r="W36" s="99" t="s">
        <v>83</v>
      </c>
      <c r="X36" s="26"/>
      <c r="Y36" s="26"/>
      <c r="Z36" s="26"/>
      <c r="AA36" s="26"/>
      <c r="AB36" s="100"/>
      <c r="AC36" s="100"/>
      <c r="AD36" s="100"/>
      <c r="AE36" s="100"/>
      <c r="AF36" s="100"/>
      <c r="AG36" s="100"/>
      <c r="AH36" s="101"/>
      <c r="AI36" s="102"/>
      <c r="AJ36" s="102"/>
      <c r="AK36" s="102"/>
      <c r="AL36" s="102"/>
      <c r="AM36" s="103"/>
      <c r="AN36" s="103"/>
      <c r="AO36" s="103"/>
      <c r="AP36" s="103"/>
      <c r="AQ36" s="103"/>
    </row>
    <row r="37" s="66" customFormat="true" ht="17.25" hidden="false" customHeight="true" outlineLevel="0" collapsed="false">
      <c r="A37" s="105" t="n">
        <v>16</v>
      </c>
      <c r="B37" s="106" t="s">
        <v>84</v>
      </c>
      <c r="C37" s="107" t="n">
        <v>1</v>
      </c>
      <c r="D37" s="108" t="n">
        <v>2.3</v>
      </c>
      <c r="E37" s="107"/>
      <c r="F37" s="107"/>
      <c r="G37" s="109" t="n">
        <f aca="false">ROUND($AF$10*$AF$11*D37*$AF$12,0)</f>
        <v>12622</v>
      </c>
      <c r="H37" s="109" t="n">
        <f aca="false">C37*G37</f>
        <v>12622</v>
      </c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 t="n">
        <f aca="false">H37+I37+K37+L37+M37+N37+O37+P37+Q37+R37+S37</f>
        <v>12622</v>
      </c>
      <c r="V37" s="72" t="n">
        <f aca="false">(U37*$AK$20)</f>
        <v>151464</v>
      </c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7"/>
      <c r="AH37" s="64"/>
      <c r="AI37" s="64"/>
      <c r="AJ37" s="64"/>
      <c r="AK37" s="64"/>
      <c r="AL37" s="64"/>
      <c r="AM37" s="65"/>
      <c r="AN37" s="65"/>
      <c r="AO37" s="65"/>
      <c r="AP37" s="65"/>
      <c r="AQ37" s="65"/>
    </row>
    <row r="38" s="66" customFormat="true" ht="25.5" hidden="false" customHeight="false" outlineLevel="0" collapsed="false">
      <c r="A38" s="111" t="n">
        <v>17</v>
      </c>
      <c r="B38" s="68" t="s">
        <v>85</v>
      </c>
      <c r="C38" s="69" t="n">
        <v>1</v>
      </c>
      <c r="D38" s="14" t="n">
        <v>2.15</v>
      </c>
      <c r="E38" s="69"/>
      <c r="F38" s="69"/>
      <c r="G38" s="71" t="n">
        <f aca="false">ROUND($AF$10*$AF$11*D38*$AF$12,0)</f>
        <v>11799</v>
      </c>
      <c r="H38" s="71" t="n">
        <f aca="false">C38*G38</f>
        <v>11799</v>
      </c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 t="n">
        <f aca="false">H38+I38+K38+L38+M38+N38+O38+P38+Q38+R38+S38</f>
        <v>11799</v>
      </c>
      <c r="V38" s="72" t="n">
        <f aca="false">(U38*$AK$20)</f>
        <v>141588</v>
      </c>
      <c r="W38" s="64"/>
      <c r="X38" s="64"/>
      <c r="Y38" s="64"/>
      <c r="Z38" s="64"/>
      <c r="AA38" s="64"/>
      <c r="AB38" s="7"/>
      <c r="AC38" s="7"/>
      <c r="AD38" s="7"/>
      <c r="AE38" s="7"/>
      <c r="AF38" s="7"/>
      <c r="AG38" s="7"/>
      <c r="AH38" s="64"/>
      <c r="AI38" s="64"/>
      <c r="AJ38" s="64"/>
      <c r="AK38" s="64"/>
      <c r="AL38" s="64"/>
      <c r="AM38" s="65"/>
      <c r="AN38" s="65"/>
      <c r="AO38" s="65"/>
      <c r="AP38" s="65"/>
      <c r="AQ38" s="65"/>
    </row>
    <row r="39" s="66" customFormat="true" ht="16.5" hidden="false" customHeight="true" outlineLevel="0" collapsed="false">
      <c r="A39" s="111" t="n">
        <v>18</v>
      </c>
      <c r="B39" s="68" t="s">
        <v>72</v>
      </c>
      <c r="C39" s="69" t="n">
        <v>2</v>
      </c>
      <c r="D39" s="14" t="n">
        <v>1.7</v>
      </c>
      <c r="E39" s="69"/>
      <c r="F39" s="69"/>
      <c r="G39" s="71" t="n">
        <f aca="false">ROUND($AF$10*$AF$11*D39*$AF$12,0)</f>
        <v>9330</v>
      </c>
      <c r="H39" s="71" t="n">
        <f aca="false">C39*G39</f>
        <v>18660</v>
      </c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 t="n">
        <f aca="false">H39+I39+K39+L39+M39+N39+O39+P39+Q39+R39+S39</f>
        <v>18660</v>
      </c>
      <c r="V39" s="72" t="n">
        <f aca="false">(U39*$AK$20)</f>
        <v>223920</v>
      </c>
      <c r="AB39" s="7"/>
      <c r="AC39" s="7"/>
      <c r="AD39" s="7"/>
      <c r="AE39" s="7"/>
      <c r="AF39" s="7"/>
      <c r="AG39" s="7"/>
      <c r="AH39" s="64"/>
      <c r="AI39" s="64"/>
      <c r="AJ39" s="64"/>
      <c r="AK39" s="64"/>
      <c r="AL39" s="64"/>
      <c r="AM39" s="65"/>
      <c r="AN39" s="65"/>
      <c r="AO39" s="65"/>
      <c r="AP39" s="65"/>
      <c r="AQ39" s="65"/>
    </row>
    <row r="40" s="66" customFormat="true" ht="16.5" hidden="false" customHeight="true" outlineLevel="0" collapsed="false">
      <c r="A40" s="112" t="n">
        <v>19</v>
      </c>
      <c r="B40" s="113" t="s">
        <v>86</v>
      </c>
      <c r="C40" s="114" t="n">
        <v>1</v>
      </c>
      <c r="D40" s="115" t="n">
        <v>1.75</v>
      </c>
      <c r="E40" s="114"/>
      <c r="F40" s="114"/>
      <c r="G40" s="116" t="n">
        <f aca="false">ROUND($AF$10*$AF$11*D40*$AF$12,0)</f>
        <v>9604</v>
      </c>
      <c r="H40" s="116" t="n">
        <f aca="false">C40*G40</f>
        <v>9604</v>
      </c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 t="n">
        <f aca="false">H40+I40+K40+L40+M40+N40+O40+P40+Q40+R40+S40</f>
        <v>9604</v>
      </c>
      <c r="V40" s="72" t="n">
        <f aca="false">(U40*$AK$20)</f>
        <v>115248</v>
      </c>
      <c r="W40" s="117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5"/>
      <c r="AN40" s="65"/>
      <c r="AO40" s="65"/>
      <c r="AP40" s="65"/>
      <c r="AQ40" s="65"/>
    </row>
    <row r="41" s="104" customFormat="true" ht="28.5" hidden="false" customHeight="true" outlineLevel="0" collapsed="false">
      <c r="A41" s="118" t="s">
        <v>87</v>
      </c>
      <c r="B41" s="118"/>
      <c r="C41" s="119" t="n">
        <f aca="false">SUM(C37:C40)</f>
        <v>5</v>
      </c>
      <c r="D41" s="120"/>
      <c r="E41" s="119"/>
      <c r="F41" s="119"/>
      <c r="G41" s="121" t="n">
        <f aca="false">SUM(G37:G40)</f>
        <v>43355</v>
      </c>
      <c r="H41" s="121" t="n">
        <f aca="false">SUM(H37:H40)</f>
        <v>52685</v>
      </c>
      <c r="I41" s="121" t="n">
        <f aca="false">SUM(I37:I40)</f>
        <v>0</v>
      </c>
      <c r="J41" s="121" t="n">
        <f aca="false">SUM(J37:J40)</f>
        <v>0</v>
      </c>
      <c r="K41" s="121" t="n">
        <f aca="false">SUM(K37:K40)</f>
        <v>0</v>
      </c>
      <c r="L41" s="121" t="n">
        <f aca="false">SUM(L37:L40)</f>
        <v>0</v>
      </c>
      <c r="M41" s="121" t="n">
        <f aca="false">SUM(M37:M40)</f>
        <v>0</v>
      </c>
      <c r="N41" s="121" t="n">
        <f aca="false">SUM(N37:N40)</f>
        <v>0</v>
      </c>
      <c r="O41" s="121" t="n">
        <f aca="false">SUM(O37:O40)</f>
        <v>0</v>
      </c>
      <c r="P41" s="121" t="n">
        <f aca="false">SUM(P37:P40)</f>
        <v>0</v>
      </c>
      <c r="Q41" s="121" t="n">
        <f aca="false">SUM(Q37:Q40)</f>
        <v>0</v>
      </c>
      <c r="R41" s="121" t="n">
        <f aca="false">SUM(R37:R40)</f>
        <v>0</v>
      </c>
      <c r="S41" s="121" t="n">
        <f aca="false">SUM(S37:S40)</f>
        <v>0</v>
      </c>
      <c r="T41" s="121" t="n">
        <f aca="false">SUM(T37:T40)</f>
        <v>0</v>
      </c>
      <c r="U41" s="121" t="n">
        <f aca="false">SUM(U37:U40)</f>
        <v>52685</v>
      </c>
      <c r="V41" s="122" t="n">
        <f aca="false">SUM(V37:V40)</f>
        <v>632220</v>
      </c>
      <c r="W41" s="123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3"/>
      <c r="AN41" s="103"/>
      <c r="AO41" s="103"/>
      <c r="AP41" s="103"/>
      <c r="AQ41" s="103"/>
    </row>
    <row r="42" s="66" customFormat="true" ht="20.25" hidden="false" customHeight="true" outlineLevel="0" collapsed="false">
      <c r="A42" s="124" t="n">
        <v>20</v>
      </c>
      <c r="B42" s="106" t="s">
        <v>88</v>
      </c>
      <c r="C42" s="107" t="n">
        <v>3</v>
      </c>
      <c r="D42" s="108" t="n">
        <v>1.45</v>
      </c>
      <c r="E42" s="107"/>
      <c r="F42" s="107"/>
      <c r="G42" s="109" t="n">
        <f aca="false">ROUND($AF$10*$AF$11*D42*$AF$12,0)</f>
        <v>7958</v>
      </c>
      <c r="H42" s="109" t="n">
        <f aca="false">C42*G42</f>
        <v>23874</v>
      </c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 t="n">
        <f aca="false">H42+I42+K42+L42+M42+N42+O42+P42+Q42+R42+S42</f>
        <v>23874</v>
      </c>
      <c r="V42" s="72" t="n">
        <f aca="false">(U42*$AK$20)</f>
        <v>286488</v>
      </c>
      <c r="W42" s="117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5"/>
      <c r="AN42" s="65"/>
      <c r="AO42" s="65"/>
      <c r="AP42" s="65"/>
      <c r="AQ42" s="65"/>
    </row>
    <row r="43" s="66" customFormat="true" ht="20.25" hidden="false" customHeight="true" outlineLevel="0" collapsed="false">
      <c r="A43" s="111" t="n">
        <v>21</v>
      </c>
      <c r="B43" s="68" t="s">
        <v>89</v>
      </c>
      <c r="C43" s="69" t="n">
        <v>2</v>
      </c>
      <c r="D43" s="14" t="n">
        <v>1.45</v>
      </c>
      <c r="E43" s="69"/>
      <c r="F43" s="69"/>
      <c r="G43" s="71" t="n">
        <f aca="false">ROUND($AF$10*$AF$11*D43*$AF$12,0)</f>
        <v>7958</v>
      </c>
      <c r="H43" s="71" t="n">
        <f aca="false">C43*G43</f>
        <v>15916</v>
      </c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 t="n">
        <f aca="false">H43+I43+K43+L43+M43+N43+O43+P43+Q43+R43+S43-1</f>
        <v>15915</v>
      </c>
      <c r="V43" s="72" t="n">
        <f aca="false">(U43*$AK$20)</f>
        <v>190980</v>
      </c>
      <c r="W43" s="117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5"/>
      <c r="AN43" s="65"/>
      <c r="AO43" s="65"/>
      <c r="AP43" s="65"/>
      <c r="AQ43" s="65"/>
    </row>
    <row r="44" s="66" customFormat="true" ht="25.5" hidden="false" customHeight="true" outlineLevel="0" collapsed="false">
      <c r="A44" s="111" t="n">
        <v>22</v>
      </c>
      <c r="B44" s="68" t="s">
        <v>90</v>
      </c>
      <c r="C44" s="69" t="n">
        <v>8</v>
      </c>
      <c r="D44" s="14" t="n">
        <v>1.3</v>
      </c>
      <c r="E44" s="69"/>
      <c r="F44" s="69"/>
      <c r="G44" s="71" t="n">
        <f aca="false">ROUND($AF$10*$AF$11*D44*$AF$12,0)</f>
        <v>7134</v>
      </c>
      <c r="H44" s="71" t="n">
        <f aca="false">C44*G44</f>
        <v>57072</v>
      </c>
      <c r="I44" s="71" t="n">
        <f aca="false">ROUND(H44*4%,2)</f>
        <v>2282.88</v>
      </c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 t="n">
        <f aca="false">H44+I44+K44+L44+M44+N44+O44+P44+Q44+R44+S44</f>
        <v>59354.88</v>
      </c>
      <c r="V44" s="72" t="n">
        <f aca="false">(U44*$AK$20)</f>
        <v>712258.56</v>
      </c>
      <c r="W44" s="117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5"/>
      <c r="AN44" s="65"/>
      <c r="AO44" s="65"/>
      <c r="AP44" s="65"/>
      <c r="AQ44" s="65"/>
    </row>
    <row r="45" s="66" customFormat="true" ht="38.25" hidden="false" customHeight="true" outlineLevel="0" collapsed="false">
      <c r="A45" s="111" t="n">
        <v>23</v>
      </c>
      <c r="B45" s="68" t="s">
        <v>91</v>
      </c>
      <c r="C45" s="69" t="n">
        <v>2</v>
      </c>
      <c r="D45" s="14" t="n">
        <v>1.35</v>
      </c>
      <c r="E45" s="69"/>
      <c r="F45" s="69"/>
      <c r="G45" s="71" t="n">
        <f aca="false">ROUND($AF$10*$AF$11*D45*$AF$12,0)</f>
        <v>7409</v>
      </c>
      <c r="H45" s="71" t="n">
        <f aca="false">C45*G45</f>
        <v>14818</v>
      </c>
      <c r="I45" s="71" t="n">
        <f aca="false">ROUND(H45*4%,2)</f>
        <v>592.72</v>
      </c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 t="n">
        <f aca="false">H45+I45+K45+L45+M45+N45+O45+P45+Q45+R45+S45</f>
        <v>15410.72</v>
      </c>
      <c r="V45" s="72" t="n">
        <f aca="false">(U45*$AK$20)</f>
        <v>184928.64</v>
      </c>
      <c r="W45" s="117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5"/>
      <c r="AN45" s="65"/>
      <c r="AO45" s="65"/>
      <c r="AP45" s="65"/>
      <c r="AQ45" s="65"/>
    </row>
    <row r="46" s="66" customFormat="true" ht="20.25" hidden="false" customHeight="true" outlineLevel="0" collapsed="false">
      <c r="A46" s="112" t="n">
        <v>24</v>
      </c>
      <c r="B46" s="113" t="s">
        <v>92</v>
      </c>
      <c r="C46" s="114" t="n">
        <v>2</v>
      </c>
      <c r="D46" s="115" t="s">
        <v>93</v>
      </c>
      <c r="E46" s="114" t="n">
        <f aca="false">$AA$19</f>
        <v>1.35</v>
      </c>
      <c r="F46" s="115" t="n">
        <f aca="false">ROUND(($AF$10*$AE$12*$AF$11*E46)/$AF$13,2)</f>
        <v>51.14</v>
      </c>
      <c r="G46" s="116" t="n">
        <f aca="false">ROUND(F46*$AH$13,2)</f>
        <v>8425.32</v>
      </c>
      <c r="H46" s="116" t="n">
        <f aca="false">C46*G46</f>
        <v>16850.64</v>
      </c>
      <c r="I46" s="116" t="n">
        <f aca="false">ROUND(H46*4%,2)</f>
        <v>674.03</v>
      </c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 t="n">
        <f aca="false">H46+I46+K46+L46+M46+N46+O46+P46+Q46+R46+S46</f>
        <v>17524.67</v>
      </c>
      <c r="V46" s="72" t="n">
        <f aca="false">(U46*$AK$20)</f>
        <v>210296.04</v>
      </c>
      <c r="W46" s="117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5"/>
      <c r="AN46" s="65"/>
      <c r="AO46" s="65"/>
      <c r="AP46" s="65"/>
      <c r="AQ46" s="65"/>
    </row>
    <row r="47" s="104" customFormat="true" ht="18" hidden="false" customHeight="true" outlineLevel="0" collapsed="false">
      <c r="A47" s="125" t="s">
        <v>94</v>
      </c>
      <c r="B47" s="126"/>
      <c r="C47" s="127" t="n">
        <f aca="false">SUM(C42:C46)</f>
        <v>17</v>
      </c>
      <c r="D47" s="128"/>
      <c r="E47" s="127"/>
      <c r="F47" s="127"/>
      <c r="G47" s="129" t="n">
        <f aca="false">SUM(G42:G46)</f>
        <v>38884.32</v>
      </c>
      <c r="H47" s="129" t="n">
        <f aca="false">SUM(H42:H46)</f>
        <v>128530.64</v>
      </c>
      <c r="I47" s="129" t="n">
        <f aca="false">SUM(I42:I46)</f>
        <v>3549.63</v>
      </c>
      <c r="J47" s="129" t="n">
        <f aca="false">SUM(J42:J46)</f>
        <v>0</v>
      </c>
      <c r="K47" s="129" t="n">
        <f aca="false">SUM(K42:K46)</f>
        <v>0</v>
      </c>
      <c r="L47" s="129" t="n">
        <f aca="false">SUM(L42:L46)</f>
        <v>0</v>
      </c>
      <c r="M47" s="129" t="n">
        <f aca="false">SUM(M42:M46)</f>
        <v>0</v>
      </c>
      <c r="N47" s="129" t="n">
        <f aca="false">SUM(N42:N46)</f>
        <v>0</v>
      </c>
      <c r="O47" s="129" t="n">
        <f aca="false">SUM(O42:O46)</f>
        <v>0</v>
      </c>
      <c r="P47" s="129" t="n">
        <f aca="false">SUM(P42:P46)</f>
        <v>0</v>
      </c>
      <c r="Q47" s="129" t="n">
        <f aca="false">SUM(Q42:Q46)</f>
        <v>0</v>
      </c>
      <c r="R47" s="129" t="n">
        <f aca="false">SUM(R42:R46)</f>
        <v>0</v>
      </c>
      <c r="S47" s="129" t="n">
        <f aca="false">SUM(S42:S46)</f>
        <v>0</v>
      </c>
      <c r="T47" s="129" t="n">
        <f aca="false">SUM(T42:T46)</f>
        <v>0</v>
      </c>
      <c r="U47" s="129" t="n">
        <f aca="false">SUM(U42:U46)</f>
        <v>132079.27</v>
      </c>
      <c r="V47" s="130" t="n">
        <f aca="false">SUM(V42:V46)</f>
        <v>1584951.24</v>
      </c>
      <c r="W47" s="123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3"/>
      <c r="AN47" s="103"/>
      <c r="AO47" s="103"/>
      <c r="AP47" s="103"/>
      <c r="AQ47" s="103"/>
    </row>
    <row r="48" s="140" customFormat="true" ht="18" hidden="false" customHeight="true" outlineLevel="0" collapsed="false">
      <c r="A48" s="131" t="s">
        <v>95</v>
      </c>
      <c r="B48" s="132"/>
      <c r="C48" s="133" t="n">
        <f aca="false">C41+C47</f>
        <v>22</v>
      </c>
      <c r="D48" s="134"/>
      <c r="E48" s="133"/>
      <c r="F48" s="133"/>
      <c r="G48" s="135" t="n">
        <f aca="false">G41+G47</f>
        <v>82239.32</v>
      </c>
      <c r="H48" s="135" t="n">
        <f aca="false">H41+H47</f>
        <v>181215.64</v>
      </c>
      <c r="I48" s="135" t="n">
        <f aca="false">I41+I47</f>
        <v>3549.63</v>
      </c>
      <c r="J48" s="135" t="n">
        <f aca="false">J41+J47</f>
        <v>0</v>
      </c>
      <c r="K48" s="135" t="n">
        <f aca="false">K41+K47</f>
        <v>0</v>
      </c>
      <c r="L48" s="135" t="n">
        <f aca="false">L41+L47</f>
        <v>0</v>
      </c>
      <c r="M48" s="135" t="n">
        <f aca="false">M41+M47</f>
        <v>0</v>
      </c>
      <c r="N48" s="135" t="n">
        <f aca="false">N41+N47</f>
        <v>0</v>
      </c>
      <c r="O48" s="135" t="n">
        <f aca="false">O41+O47</f>
        <v>0</v>
      </c>
      <c r="P48" s="135" t="n">
        <f aca="false">P41+P47</f>
        <v>0</v>
      </c>
      <c r="Q48" s="135" t="n">
        <f aca="false">Q41+Q47</f>
        <v>0</v>
      </c>
      <c r="R48" s="135" t="n">
        <f aca="false">R41+R47</f>
        <v>0</v>
      </c>
      <c r="S48" s="135" t="n">
        <f aca="false">S41+S47</f>
        <v>0</v>
      </c>
      <c r="T48" s="135" t="n">
        <f aca="false">T41+T47</f>
        <v>0</v>
      </c>
      <c r="U48" s="135" t="n">
        <f aca="false">U41+U47</f>
        <v>184764.27</v>
      </c>
      <c r="V48" s="136" t="n">
        <f aca="false">V41+V47</f>
        <v>2217171.24</v>
      </c>
      <c r="W48" s="137" t="n">
        <f aca="false">V48*22%</f>
        <v>487777.6728</v>
      </c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9"/>
      <c r="AN48" s="139"/>
      <c r="AO48" s="139"/>
      <c r="AP48" s="139"/>
      <c r="AQ48" s="139"/>
    </row>
    <row r="49" s="104" customFormat="true" ht="19.5" hidden="false" customHeight="true" outlineLevel="0" collapsed="false">
      <c r="A49" s="94" t="s">
        <v>96</v>
      </c>
      <c r="B49" s="141"/>
      <c r="C49" s="142"/>
      <c r="D49" s="143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4"/>
      <c r="W49" s="123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3"/>
      <c r="AN49" s="103"/>
      <c r="AO49" s="103"/>
      <c r="AP49" s="103"/>
      <c r="AQ49" s="103"/>
    </row>
    <row r="50" s="66" customFormat="true" ht="15.75" hidden="false" customHeight="true" outlineLevel="0" collapsed="false">
      <c r="A50" s="105" t="n">
        <v>25</v>
      </c>
      <c r="B50" s="59" t="s">
        <v>97</v>
      </c>
      <c r="C50" s="60" t="n">
        <v>1</v>
      </c>
      <c r="D50" s="145" t="n">
        <v>2.4</v>
      </c>
      <c r="E50" s="60"/>
      <c r="F50" s="60"/>
      <c r="G50" s="62" t="n">
        <f aca="false">ROUND($AF$10*$AF$11*D50*$AF$12,0)</f>
        <v>13171</v>
      </c>
      <c r="H50" s="62" t="n">
        <f aca="false">C50*G50</f>
        <v>13171</v>
      </c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 t="n">
        <f aca="false">H50+I50+K50+L50+M50+N50+O50+P50+Q50+R50+S50</f>
        <v>13171</v>
      </c>
      <c r="V50" s="63" t="n">
        <f aca="false">(U50*$AK$20)</f>
        <v>158052</v>
      </c>
      <c r="W50" s="117"/>
      <c r="X50" s="64"/>
      <c r="Y50" s="146" t="n">
        <f aca="false">U50-(U50*20.5%)</f>
        <v>10470.945</v>
      </c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5"/>
      <c r="AN50" s="65"/>
      <c r="AO50" s="65"/>
      <c r="AP50" s="65"/>
      <c r="AQ50" s="65"/>
    </row>
    <row r="51" s="66" customFormat="true" ht="15.75" hidden="false" customHeight="true" outlineLevel="0" collapsed="false">
      <c r="A51" s="147" t="n">
        <v>26</v>
      </c>
      <c r="B51" s="79" t="s">
        <v>98</v>
      </c>
      <c r="C51" s="80" t="n">
        <v>1</v>
      </c>
      <c r="D51" s="81" t="n">
        <v>2.4</v>
      </c>
      <c r="E51" s="80"/>
      <c r="F51" s="80"/>
      <c r="G51" s="82" t="n">
        <f aca="false">ROUND($AF$10*$AF$11*D51*$AF$12,0)</f>
        <v>13171</v>
      </c>
      <c r="H51" s="82" t="n">
        <f aca="false">C51*G51</f>
        <v>13171</v>
      </c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 t="n">
        <f aca="false">H51+I51+K51+L51+M51+N51+O51+P51+Q51+R51+S51</f>
        <v>13171</v>
      </c>
      <c r="V51" s="83" t="n">
        <f aca="false">(U51*$AK$20)</f>
        <v>158052</v>
      </c>
      <c r="W51" s="117"/>
      <c r="X51" s="64"/>
      <c r="Y51" s="146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5"/>
      <c r="AN51" s="65"/>
      <c r="AO51" s="65"/>
      <c r="AP51" s="65"/>
      <c r="AQ51" s="65"/>
    </row>
    <row r="52" s="155" customFormat="true" ht="28.5" hidden="false" customHeight="true" outlineLevel="0" collapsed="false">
      <c r="A52" s="148" t="s">
        <v>99</v>
      </c>
      <c r="B52" s="148"/>
      <c r="C52" s="149" t="n">
        <f aca="false">SUM(C50:C51)</f>
        <v>2</v>
      </c>
      <c r="D52" s="149"/>
      <c r="E52" s="150"/>
      <c r="F52" s="150"/>
      <c r="G52" s="151" t="n">
        <f aca="false">SUM(G50:G51)</f>
        <v>26342</v>
      </c>
      <c r="H52" s="151" t="n">
        <f aca="false">SUM(H50:H51)</f>
        <v>26342</v>
      </c>
      <c r="I52" s="151" t="n">
        <f aca="false">SUM(I50:I51)</f>
        <v>0</v>
      </c>
      <c r="J52" s="151" t="n">
        <f aca="false">SUM(J50:J51)</f>
        <v>0</v>
      </c>
      <c r="K52" s="151" t="n">
        <f aca="false">SUM(K50:K51)</f>
        <v>0</v>
      </c>
      <c r="L52" s="151" t="n">
        <f aca="false">SUM(L50:L51)</f>
        <v>0</v>
      </c>
      <c r="M52" s="151" t="n">
        <f aca="false">SUM(M50:M51)</f>
        <v>0</v>
      </c>
      <c r="N52" s="151" t="n">
        <f aca="false">SUM(N50:N51)</f>
        <v>0</v>
      </c>
      <c r="O52" s="151" t="n">
        <f aca="false">SUM(O50:O51)</f>
        <v>0</v>
      </c>
      <c r="P52" s="151" t="n">
        <f aca="false">SUM(P50:P51)</f>
        <v>0</v>
      </c>
      <c r="Q52" s="151" t="n">
        <f aca="false">SUM(Q50:Q51)</f>
        <v>0</v>
      </c>
      <c r="R52" s="151" t="n">
        <f aca="false">SUM(R50:R51)</f>
        <v>0</v>
      </c>
      <c r="S52" s="151" t="n">
        <f aca="false">SUM(S50:S51)</f>
        <v>0</v>
      </c>
      <c r="T52" s="151" t="n">
        <f aca="false">SUM(T50:T51)</f>
        <v>0</v>
      </c>
      <c r="U52" s="151" t="n">
        <f aca="false">SUM(U50:U51)</f>
        <v>26342</v>
      </c>
      <c r="V52" s="152" t="n">
        <f aca="false">SUM(V50:V51)</f>
        <v>316104</v>
      </c>
      <c r="W52" s="117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4"/>
      <c r="AN52" s="154"/>
      <c r="AO52" s="154"/>
      <c r="AP52" s="154"/>
      <c r="AQ52" s="154"/>
    </row>
    <row r="53" s="66" customFormat="true" ht="16.5" hidden="false" customHeight="true" outlineLevel="0" collapsed="false">
      <c r="A53" s="156" t="s">
        <v>100</v>
      </c>
      <c r="B53" s="157"/>
      <c r="C53" s="158"/>
      <c r="D53" s="159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60"/>
      <c r="W53" s="117"/>
      <c r="X53" s="64"/>
      <c r="Y53" s="146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5"/>
      <c r="AN53" s="65"/>
      <c r="AO53" s="65"/>
      <c r="AP53" s="65"/>
      <c r="AQ53" s="65"/>
    </row>
    <row r="54" s="66" customFormat="true" ht="26.25" hidden="false" customHeight="true" outlineLevel="0" collapsed="false">
      <c r="A54" s="105" t="n">
        <v>27</v>
      </c>
      <c r="B54" s="59" t="s">
        <v>101</v>
      </c>
      <c r="C54" s="60" t="n">
        <v>1</v>
      </c>
      <c r="D54" s="62" t="n">
        <v>2.4</v>
      </c>
      <c r="E54" s="62"/>
      <c r="F54" s="62"/>
      <c r="G54" s="62" t="n">
        <f aca="false">ROUND($AF$10*$AF$11*D54*$AF$12,0)</f>
        <v>13171</v>
      </c>
      <c r="H54" s="62" t="n">
        <f aca="false">C54*G54</f>
        <v>13171</v>
      </c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 t="n">
        <f aca="false">H54+I54+K54+L54+M54+N54+O54+P54+Q54+R54+S54</f>
        <v>13171</v>
      </c>
      <c r="V54" s="63" t="n">
        <f aca="false">(U54*$AK$20)</f>
        <v>158052</v>
      </c>
      <c r="W54" s="117"/>
      <c r="X54" s="64"/>
      <c r="Y54" s="146" t="n">
        <f aca="false">U54-(U54*20.5%)</f>
        <v>10470.945</v>
      </c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5"/>
      <c r="AN54" s="65"/>
      <c r="AO54" s="65"/>
      <c r="AP54" s="65"/>
      <c r="AQ54" s="65"/>
    </row>
    <row r="55" s="66" customFormat="true" ht="28.5" hidden="false" customHeight="true" outlineLevel="0" collapsed="false">
      <c r="A55" s="111" t="n">
        <v>28</v>
      </c>
      <c r="B55" s="68" t="s">
        <v>102</v>
      </c>
      <c r="C55" s="69" t="n">
        <v>1</v>
      </c>
      <c r="D55" s="71" t="n">
        <v>1.9</v>
      </c>
      <c r="E55" s="71"/>
      <c r="F55" s="71"/>
      <c r="G55" s="71" t="n">
        <f aca="false">ROUND($AF$10*$AF$11*D55*$AF$12,0)</f>
        <v>10427</v>
      </c>
      <c r="H55" s="71" t="n">
        <f aca="false">C55*G55</f>
        <v>10427</v>
      </c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 t="n">
        <f aca="false">H55+I55+K55+L55+M55+N55+O55+P55+Q55+R55+S55</f>
        <v>10427</v>
      </c>
      <c r="V55" s="72" t="n">
        <f aca="false">(U55*$AK$20)</f>
        <v>125124</v>
      </c>
      <c r="W55" s="117"/>
      <c r="X55" s="64"/>
      <c r="Y55" s="146" t="n">
        <f aca="false">U55-(U55*20.5%)</f>
        <v>8289.465</v>
      </c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5"/>
      <c r="AN55" s="65"/>
      <c r="AO55" s="65"/>
      <c r="AP55" s="65"/>
      <c r="AQ55" s="65"/>
    </row>
    <row r="56" s="66" customFormat="true" ht="15.75" hidden="false" customHeight="true" outlineLevel="0" collapsed="false">
      <c r="A56" s="111" t="n">
        <v>29</v>
      </c>
      <c r="B56" s="68" t="s">
        <v>103</v>
      </c>
      <c r="C56" s="69" t="n">
        <v>1</v>
      </c>
      <c r="D56" s="71" t="n">
        <v>1.9</v>
      </c>
      <c r="E56" s="71"/>
      <c r="F56" s="71"/>
      <c r="G56" s="71" t="n">
        <f aca="false">ROUND($AF$10*$AF$11*D56*$AF$12,0)</f>
        <v>10427</v>
      </c>
      <c r="H56" s="71" t="n">
        <f aca="false">C56*G56</f>
        <v>10427</v>
      </c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 t="n">
        <f aca="false">H56+I56+K56+L56+M56+N56+O56+P56+Q56+R56+S56</f>
        <v>10427</v>
      </c>
      <c r="V56" s="72" t="n">
        <f aca="false">(U56*$AK$20)</f>
        <v>125124</v>
      </c>
      <c r="W56" s="117"/>
      <c r="X56" s="64"/>
      <c r="Y56" s="146" t="n">
        <f aca="false">U56-(U56*20.5%)</f>
        <v>8289.465</v>
      </c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5"/>
      <c r="AN56" s="65"/>
      <c r="AO56" s="65"/>
      <c r="AP56" s="65"/>
      <c r="AQ56" s="65"/>
    </row>
    <row r="57" s="66" customFormat="true" ht="15.75" hidden="false" customHeight="true" outlineLevel="0" collapsed="false">
      <c r="A57" s="147" t="n">
        <v>30</v>
      </c>
      <c r="B57" s="79" t="s">
        <v>104</v>
      </c>
      <c r="C57" s="80" t="n">
        <v>0.5</v>
      </c>
      <c r="D57" s="82" t="n">
        <v>1.45</v>
      </c>
      <c r="E57" s="82"/>
      <c r="F57" s="82"/>
      <c r="G57" s="82" t="n">
        <f aca="false">ROUND($AF$10*$AF$11*D57*$AF$12,0)</f>
        <v>7958</v>
      </c>
      <c r="H57" s="82" t="n">
        <f aca="false">C57*G57</f>
        <v>3979</v>
      </c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 t="n">
        <f aca="false">H57+I57+K57+L57+M57+N57+O57+P57+Q57+R57+S57</f>
        <v>3979</v>
      </c>
      <c r="V57" s="83" t="n">
        <f aca="false">(U57*$AK$20)</f>
        <v>47748</v>
      </c>
      <c r="W57" s="117"/>
      <c r="X57" s="64"/>
      <c r="Y57" s="146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5"/>
      <c r="AN57" s="65"/>
      <c r="AO57" s="65"/>
      <c r="AP57" s="65"/>
      <c r="AQ57" s="65"/>
    </row>
    <row r="58" s="155" customFormat="true" ht="30" hidden="false" customHeight="true" outlineLevel="0" collapsed="false">
      <c r="A58" s="161" t="s">
        <v>99</v>
      </c>
      <c r="B58" s="161"/>
      <c r="C58" s="162" t="n">
        <f aca="false">SUM(C54:C57)</f>
        <v>3.5</v>
      </c>
      <c r="D58" s="163"/>
      <c r="E58" s="163"/>
      <c r="F58" s="163"/>
      <c r="G58" s="163" t="n">
        <f aca="false">SUM(G54:G57)</f>
        <v>41983</v>
      </c>
      <c r="H58" s="163" t="n">
        <f aca="false">SUM(H54:H57)</f>
        <v>38004</v>
      </c>
      <c r="I58" s="163" t="n">
        <f aca="false">SUM(I54:I57)</f>
        <v>0</v>
      </c>
      <c r="J58" s="163" t="n">
        <f aca="false">SUM(J54:J57)</f>
        <v>0</v>
      </c>
      <c r="K58" s="163" t="n">
        <f aca="false">SUM(K54:K57)</f>
        <v>0</v>
      </c>
      <c r="L58" s="163" t="n">
        <f aca="false">SUM(L54:L57)</f>
        <v>0</v>
      </c>
      <c r="M58" s="163" t="n">
        <f aca="false">SUM(M54:M57)</f>
        <v>0</v>
      </c>
      <c r="N58" s="163" t="n">
        <f aca="false">SUM(N54:N57)</f>
        <v>0</v>
      </c>
      <c r="O58" s="163" t="n">
        <f aca="false">SUM(O54:O57)</f>
        <v>0</v>
      </c>
      <c r="P58" s="163" t="n">
        <f aca="false">SUM(P54:P57)</f>
        <v>0</v>
      </c>
      <c r="Q58" s="163" t="n">
        <f aca="false">SUM(Q54:Q57)</f>
        <v>0</v>
      </c>
      <c r="R58" s="163" t="n">
        <f aca="false">SUM(R54:R57)</f>
        <v>0</v>
      </c>
      <c r="S58" s="163" t="n">
        <f aca="false">SUM(S54:S57)</f>
        <v>0</v>
      </c>
      <c r="T58" s="163" t="n">
        <f aca="false">SUM(T54:T57)</f>
        <v>0</v>
      </c>
      <c r="U58" s="163" t="n">
        <f aca="false">SUM(U54:U57)</f>
        <v>38004</v>
      </c>
      <c r="V58" s="164" t="n">
        <f aca="false">SUM(V54:V57)</f>
        <v>456048</v>
      </c>
      <c r="W58" s="117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4"/>
      <c r="AN58" s="154"/>
      <c r="AO58" s="154"/>
      <c r="AP58" s="154"/>
      <c r="AQ58" s="154"/>
    </row>
    <row r="59" s="66" customFormat="true" ht="16.5" hidden="false" customHeight="true" outlineLevel="0" collapsed="false">
      <c r="A59" s="157" t="s">
        <v>105</v>
      </c>
      <c r="B59" s="158"/>
      <c r="C59" s="158"/>
      <c r="D59" s="159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60"/>
      <c r="W59" s="117"/>
      <c r="X59" s="64"/>
      <c r="Y59" s="146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5"/>
      <c r="AN59" s="65"/>
      <c r="AO59" s="65"/>
      <c r="AP59" s="65"/>
      <c r="AQ59" s="65"/>
    </row>
    <row r="60" s="66" customFormat="true" ht="14.25" hidden="false" customHeight="true" outlineLevel="0" collapsed="false">
      <c r="A60" s="105" t="n">
        <v>31</v>
      </c>
      <c r="B60" s="59" t="s">
        <v>106</v>
      </c>
      <c r="C60" s="60" t="n">
        <v>1</v>
      </c>
      <c r="D60" s="145" t="n">
        <v>1.85</v>
      </c>
      <c r="E60" s="60"/>
      <c r="F60" s="60"/>
      <c r="G60" s="145" t="n">
        <f aca="false">ROUND($AF$10*$AF$11*D60*$AF$12,0)</f>
        <v>10153</v>
      </c>
      <c r="H60" s="145" t="n">
        <f aca="false">C60*G60</f>
        <v>10153</v>
      </c>
      <c r="I60" s="145"/>
      <c r="J60" s="165"/>
      <c r="K60" s="145"/>
      <c r="L60" s="60"/>
      <c r="M60" s="60"/>
      <c r="N60" s="60"/>
      <c r="O60" s="60"/>
      <c r="P60" s="60"/>
      <c r="Q60" s="60"/>
      <c r="R60" s="60"/>
      <c r="S60" s="60"/>
      <c r="T60" s="60"/>
      <c r="U60" s="145" t="n">
        <f aca="false">H60+I60+K60+L60+M60+N60+O60+P60+Q60+R60+S60</f>
        <v>10153</v>
      </c>
      <c r="V60" s="72" t="n">
        <f aca="false">(U60*$AK$20)</f>
        <v>121836</v>
      </c>
      <c r="W60" s="117"/>
      <c r="X60" s="64"/>
      <c r="Y60" s="146" t="n">
        <f aca="false">U60-(U60*20.5%)</f>
        <v>8071.635</v>
      </c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5"/>
      <c r="AN60" s="65"/>
      <c r="AO60" s="65"/>
      <c r="AP60" s="65"/>
      <c r="AQ60" s="65"/>
    </row>
    <row r="61" s="66" customFormat="true" ht="39.75" hidden="false" customHeight="true" outlineLevel="0" collapsed="false">
      <c r="A61" s="111" t="n">
        <v>32</v>
      </c>
      <c r="B61" s="68" t="s">
        <v>107</v>
      </c>
      <c r="C61" s="69" t="n">
        <v>1</v>
      </c>
      <c r="D61" s="14" t="n">
        <v>1.75</v>
      </c>
      <c r="E61" s="69"/>
      <c r="F61" s="69"/>
      <c r="G61" s="14" t="n">
        <f aca="false">ROUND($AF$10*$AF$11*D61*$AF$12,0)</f>
        <v>9604</v>
      </c>
      <c r="H61" s="14" t="n">
        <f aca="false">C61*G61</f>
        <v>9604</v>
      </c>
      <c r="I61" s="14"/>
      <c r="J61" s="166"/>
      <c r="K61" s="14"/>
      <c r="L61" s="69"/>
      <c r="M61" s="69"/>
      <c r="N61" s="69"/>
      <c r="O61" s="69"/>
      <c r="P61" s="69"/>
      <c r="Q61" s="69"/>
      <c r="R61" s="69"/>
      <c r="S61" s="69"/>
      <c r="T61" s="69"/>
      <c r="U61" s="14" t="n">
        <f aca="false">H61+I61+K61+L61+M61+N61+O61+P61+Q61+R61+S61</f>
        <v>9604</v>
      </c>
      <c r="V61" s="72" t="n">
        <f aca="false">(U61*$AK$20)</f>
        <v>115248</v>
      </c>
      <c r="W61" s="117"/>
      <c r="X61" s="64"/>
      <c r="Y61" s="146" t="n">
        <f aca="false">U61-(U61*20.5%)</f>
        <v>7635.18</v>
      </c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5"/>
      <c r="AN61" s="65"/>
      <c r="AO61" s="65"/>
      <c r="AP61" s="65"/>
      <c r="AQ61" s="65"/>
    </row>
    <row r="62" s="66" customFormat="true" ht="15" hidden="false" customHeight="true" outlineLevel="0" collapsed="false">
      <c r="A62" s="147" t="n">
        <v>33</v>
      </c>
      <c r="B62" s="79" t="s">
        <v>108</v>
      </c>
      <c r="C62" s="80" t="n">
        <v>0.5</v>
      </c>
      <c r="D62" s="81" t="n">
        <v>1.5</v>
      </c>
      <c r="E62" s="80"/>
      <c r="F62" s="80"/>
      <c r="G62" s="81" t="n">
        <f aca="false">ROUND($AF$10*$AF$11*D62*$AF$12,0)</f>
        <v>8232</v>
      </c>
      <c r="H62" s="81" t="n">
        <f aca="false">C62*G62</f>
        <v>4116</v>
      </c>
      <c r="I62" s="81"/>
      <c r="J62" s="167"/>
      <c r="K62" s="81"/>
      <c r="L62" s="80"/>
      <c r="M62" s="80"/>
      <c r="N62" s="80"/>
      <c r="O62" s="80"/>
      <c r="P62" s="80"/>
      <c r="Q62" s="80"/>
      <c r="R62" s="80"/>
      <c r="S62" s="80"/>
      <c r="T62" s="80"/>
      <c r="U62" s="81" t="n">
        <f aca="false">H62+I62+K62+L62+M62+N62+O62+P62+Q62+R62+S62</f>
        <v>4116</v>
      </c>
      <c r="V62" s="72" t="n">
        <f aca="false">(U62*$AK$20)</f>
        <v>49392</v>
      </c>
      <c r="W62" s="117"/>
      <c r="X62" s="64"/>
      <c r="Y62" s="146" t="n">
        <f aca="false">U62-(U62*20.5%)</f>
        <v>3272.22</v>
      </c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5"/>
      <c r="AN62" s="65"/>
      <c r="AO62" s="65"/>
      <c r="AP62" s="65"/>
      <c r="AQ62" s="65"/>
    </row>
    <row r="63" s="155" customFormat="true" ht="24" hidden="false" customHeight="true" outlineLevel="0" collapsed="false">
      <c r="A63" s="148" t="s">
        <v>99</v>
      </c>
      <c r="B63" s="148"/>
      <c r="C63" s="149" t="n">
        <f aca="false">SUM(C60:C62)</f>
        <v>2.5</v>
      </c>
      <c r="D63" s="149"/>
      <c r="E63" s="150"/>
      <c r="F63" s="150"/>
      <c r="G63" s="149" t="n">
        <f aca="false">SUM(G60:G62)</f>
        <v>27989</v>
      </c>
      <c r="H63" s="149" t="n">
        <f aca="false">SUM(H60:H62)</f>
        <v>23873</v>
      </c>
      <c r="I63" s="149" t="n">
        <f aca="false">SUM(I60:I62)</f>
        <v>0</v>
      </c>
      <c r="J63" s="149" t="n">
        <f aca="false">SUM(J60:J62)</f>
        <v>0</v>
      </c>
      <c r="K63" s="149" t="n">
        <f aca="false">SUM(K60:K62)</f>
        <v>0</v>
      </c>
      <c r="L63" s="149" t="n">
        <f aca="false">SUM(L60:L62)</f>
        <v>0</v>
      </c>
      <c r="M63" s="149" t="n">
        <f aca="false">SUM(M60:M62)</f>
        <v>0</v>
      </c>
      <c r="N63" s="149" t="n">
        <f aca="false">SUM(N60:N62)</f>
        <v>0</v>
      </c>
      <c r="O63" s="149" t="n">
        <f aca="false">SUM(O60:O62)</f>
        <v>0</v>
      </c>
      <c r="P63" s="149" t="n">
        <f aca="false">SUM(P60:P62)</f>
        <v>0</v>
      </c>
      <c r="Q63" s="149" t="n">
        <f aca="false">SUM(Q60:Q62)</f>
        <v>0</v>
      </c>
      <c r="R63" s="149" t="n">
        <f aca="false">SUM(R60:R62)</f>
        <v>0</v>
      </c>
      <c r="S63" s="149" t="n">
        <f aca="false">SUM(S60:S62)</f>
        <v>0</v>
      </c>
      <c r="T63" s="149" t="n">
        <f aca="false">SUM(T60:T62)</f>
        <v>0</v>
      </c>
      <c r="U63" s="149" t="n">
        <f aca="false">SUM(U60:U62)</f>
        <v>23873</v>
      </c>
      <c r="V63" s="168" t="n">
        <f aca="false">SUM(V60:V62)</f>
        <v>286476</v>
      </c>
      <c r="W63" s="117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4"/>
      <c r="AN63" s="154"/>
      <c r="AO63" s="154"/>
      <c r="AP63" s="154"/>
      <c r="AQ63" s="154"/>
    </row>
    <row r="64" s="155" customFormat="true" ht="16.5" hidden="false" customHeight="true" outlineLevel="0" collapsed="false">
      <c r="A64" s="169" t="s">
        <v>109</v>
      </c>
      <c r="B64" s="169"/>
      <c r="C64" s="170"/>
      <c r="D64" s="171"/>
      <c r="E64" s="172"/>
      <c r="F64" s="172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3"/>
      <c r="W64" s="117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4"/>
      <c r="AN64" s="154"/>
      <c r="AO64" s="154"/>
      <c r="AP64" s="154"/>
      <c r="AQ64" s="154"/>
    </row>
    <row r="65" s="66" customFormat="true" ht="15" hidden="false" customHeight="true" outlineLevel="0" collapsed="false">
      <c r="A65" s="124" t="n">
        <v>34</v>
      </c>
      <c r="B65" s="174" t="s">
        <v>110</v>
      </c>
      <c r="C65" s="109" t="n">
        <v>1</v>
      </c>
      <c r="D65" s="109" t="n">
        <v>1.7</v>
      </c>
      <c r="E65" s="109"/>
      <c r="F65" s="109"/>
      <c r="G65" s="109" t="n">
        <f aca="false">ROUND($AF$10*$AF$11*D65*$AF$12,0)</f>
        <v>9330</v>
      </c>
      <c r="H65" s="109" t="n">
        <f aca="false">C65*G65</f>
        <v>9330</v>
      </c>
      <c r="I65" s="109"/>
      <c r="J65" s="109"/>
      <c r="K65" s="109"/>
      <c r="L65" s="109"/>
      <c r="M65" s="109"/>
      <c r="N65" s="109"/>
      <c r="O65" s="109"/>
      <c r="P65" s="109" t="n">
        <f aca="false">ROUND(((G65/$AH$13*53.23)*35%)*C65,2)</f>
        <v>1055.07</v>
      </c>
      <c r="Q65" s="109" t="n">
        <f aca="false">ROUND(((G65/$AH$13)*5.5)*C65,2)</f>
        <v>311.47</v>
      </c>
      <c r="R65" s="109"/>
      <c r="S65" s="109"/>
      <c r="T65" s="109"/>
      <c r="U65" s="109" t="n">
        <f aca="false">H65+I65+K65+L65+M65+N65+O65+P65+Q65+R65+S65</f>
        <v>10696.54</v>
      </c>
      <c r="V65" s="72" t="n">
        <f aca="false">(U65*$AK$20)</f>
        <v>128358.48</v>
      </c>
      <c r="W65" s="117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5"/>
      <c r="AN65" s="65"/>
      <c r="AO65" s="65"/>
      <c r="AP65" s="65"/>
      <c r="AQ65" s="65"/>
    </row>
    <row r="66" s="66" customFormat="true" ht="15" hidden="false" customHeight="true" outlineLevel="0" collapsed="false">
      <c r="A66" s="111" t="n">
        <v>35</v>
      </c>
      <c r="B66" s="175" t="s">
        <v>111</v>
      </c>
      <c r="C66" s="116" t="n">
        <v>3</v>
      </c>
      <c r="D66" s="116" t="n">
        <v>1.6</v>
      </c>
      <c r="E66" s="116"/>
      <c r="F66" s="116"/>
      <c r="G66" s="116" t="n">
        <f aca="false">ROUND($AF$10*$AF$11*D66*$AF$12,0)</f>
        <v>8781</v>
      </c>
      <c r="H66" s="116" t="n">
        <f aca="false">C66*G66</f>
        <v>26343</v>
      </c>
      <c r="I66" s="116"/>
      <c r="J66" s="116"/>
      <c r="K66" s="116"/>
      <c r="L66" s="116"/>
      <c r="M66" s="116"/>
      <c r="N66" s="116"/>
      <c r="O66" s="116"/>
      <c r="P66" s="116" t="n">
        <f aca="false">ROUND(((G66/$AH$13*53.23)*35%)*C66,2)</f>
        <v>2978.96</v>
      </c>
      <c r="Q66" s="116" t="n">
        <f aca="false">ROUND(((G66/$AH$13)*5.5)*C66,2)</f>
        <v>879.43</v>
      </c>
      <c r="R66" s="116"/>
      <c r="S66" s="116"/>
      <c r="T66" s="116"/>
      <c r="U66" s="116" t="n">
        <f aca="false">H66+I66+K66+L66+M66+N66+O66+P66+Q66+R66+S66</f>
        <v>30201.39</v>
      </c>
      <c r="V66" s="72" t="n">
        <f aca="false">(U66*$AK$20)</f>
        <v>362416.68</v>
      </c>
      <c r="W66" s="117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5"/>
      <c r="AN66" s="65"/>
      <c r="AO66" s="65"/>
      <c r="AP66" s="65"/>
      <c r="AQ66" s="65"/>
    </row>
    <row r="67" s="66" customFormat="true" ht="17.25" hidden="false" customHeight="true" outlineLevel="0" collapsed="false">
      <c r="A67" s="176" t="s">
        <v>112</v>
      </c>
      <c r="B67" s="177"/>
      <c r="C67" s="178" t="n">
        <f aca="false">C65+C66</f>
        <v>4</v>
      </c>
      <c r="D67" s="178"/>
      <c r="E67" s="178"/>
      <c r="F67" s="178"/>
      <c r="G67" s="178" t="n">
        <f aca="false">SUM(G65:G66)</f>
        <v>18111</v>
      </c>
      <c r="H67" s="178" t="n">
        <f aca="false">SUM(H65:H66)</f>
        <v>35673</v>
      </c>
      <c r="I67" s="178" t="n">
        <f aca="false">SUM(I65:I66)</f>
        <v>0</v>
      </c>
      <c r="J67" s="178" t="n">
        <f aca="false">SUM(J65:J66)</f>
        <v>0</v>
      </c>
      <c r="K67" s="178" t="n">
        <f aca="false">SUM(K65:K66)</f>
        <v>0</v>
      </c>
      <c r="L67" s="178" t="n">
        <f aca="false">SUM(L65:L66)</f>
        <v>0</v>
      </c>
      <c r="M67" s="178" t="n">
        <f aca="false">SUM(M65:M66)</f>
        <v>0</v>
      </c>
      <c r="N67" s="178" t="n">
        <f aca="false">SUM(N65:N66)</f>
        <v>0</v>
      </c>
      <c r="O67" s="178" t="n">
        <f aca="false">SUM(O65:O66)</f>
        <v>0</v>
      </c>
      <c r="P67" s="178" t="n">
        <f aca="false">SUM(P65:P66)</f>
        <v>4034.03</v>
      </c>
      <c r="Q67" s="178" t="n">
        <f aca="false">SUM(Q65:Q66)</f>
        <v>1190.9</v>
      </c>
      <c r="R67" s="178" t="n">
        <f aca="false">SUM(R65:R66)</f>
        <v>0</v>
      </c>
      <c r="S67" s="178" t="n">
        <f aca="false">SUM(S65:S66)</f>
        <v>0</v>
      </c>
      <c r="T67" s="178" t="n">
        <f aca="false">SUM(T65:T66)</f>
        <v>0</v>
      </c>
      <c r="U67" s="178" t="n">
        <f aca="false">SUM(U65:U66)</f>
        <v>40897.93</v>
      </c>
      <c r="V67" s="179" t="n">
        <f aca="false">SUM(V65:V66)</f>
        <v>490775.16</v>
      </c>
      <c r="W67" s="117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5"/>
      <c r="AN67" s="65"/>
      <c r="AO67" s="65"/>
      <c r="AP67" s="65"/>
      <c r="AQ67" s="65"/>
    </row>
    <row r="68" s="155" customFormat="true" ht="18.75" hidden="false" customHeight="true" outlineLevel="0" collapsed="false">
      <c r="A68" s="157" t="s">
        <v>113</v>
      </c>
      <c r="B68" s="158"/>
      <c r="C68" s="158"/>
      <c r="D68" s="159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60"/>
      <c r="W68" s="117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4"/>
      <c r="AN68" s="154"/>
      <c r="AO68" s="154"/>
      <c r="AP68" s="154"/>
      <c r="AQ68" s="154"/>
    </row>
    <row r="69" s="66" customFormat="true" ht="15.75" hidden="false" customHeight="false" outlineLevel="0" collapsed="false">
      <c r="A69" s="105" t="n">
        <v>36</v>
      </c>
      <c r="B69" s="59" t="s">
        <v>114</v>
      </c>
      <c r="C69" s="60" t="n">
        <v>1</v>
      </c>
      <c r="D69" s="145" t="n">
        <v>2.3</v>
      </c>
      <c r="E69" s="60"/>
      <c r="F69" s="60"/>
      <c r="G69" s="62" t="n">
        <f aca="false">ROUND($AF$10*$AF$11*D69*$AF$12,0)</f>
        <v>12622</v>
      </c>
      <c r="H69" s="62" t="n">
        <f aca="false">C69*G69</f>
        <v>12622</v>
      </c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 t="n">
        <f aca="false">H69+I69+K69+L69+M69+N69+O69+P69+Q69+R69+S69</f>
        <v>12622</v>
      </c>
      <c r="V69" s="72" t="n">
        <f aca="false">(U69*$AK$20)</f>
        <v>151464</v>
      </c>
      <c r="W69" s="117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5"/>
      <c r="AN69" s="65"/>
      <c r="AO69" s="65"/>
      <c r="AP69" s="65"/>
      <c r="AQ69" s="65"/>
    </row>
    <row r="70" s="66" customFormat="true" ht="16.5" hidden="false" customHeight="false" outlineLevel="0" collapsed="false">
      <c r="A70" s="112" t="n">
        <v>37</v>
      </c>
      <c r="B70" s="113" t="s">
        <v>115</v>
      </c>
      <c r="C70" s="114" t="n">
        <v>1</v>
      </c>
      <c r="D70" s="115" t="n">
        <v>1.65</v>
      </c>
      <c r="E70" s="114"/>
      <c r="F70" s="114"/>
      <c r="G70" s="116" t="n">
        <f aca="false">ROUND($AF$10*$AF$11*D70*$AF$12,0)</f>
        <v>9055</v>
      </c>
      <c r="H70" s="116" t="n">
        <f aca="false">C70*G70</f>
        <v>9055</v>
      </c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 t="n">
        <f aca="false">H70+I70+K70+L70+M70+N70+O70+P70+Q70+R70+S70</f>
        <v>9055</v>
      </c>
      <c r="V70" s="72" t="n">
        <f aca="false">(U70*$AK$20)</f>
        <v>108660</v>
      </c>
      <c r="W70" s="123" t="n">
        <f aca="false">V70</f>
        <v>108660</v>
      </c>
      <c r="X70" s="146" t="n">
        <f aca="false">W70*8.41%</f>
        <v>9138.306</v>
      </c>
      <c r="Y70" s="64" t="s">
        <v>116</v>
      </c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5"/>
      <c r="AN70" s="65"/>
      <c r="AO70" s="65"/>
      <c r="AP70" s="65"/>
      <c r="AQ70" s="65"/>
    </row>
    <row r="71" s="155" customFormat="true" ht="17.25" hidden="false" customHeight="true" outlineLevel="0" collapsed="false">
      <c r="A71" s="148" t="s">
        <v>117</v>
      </c>
      <c r="B71" s="148"/>
      <c r="C71" s="150" t="n">
        <f aca="false">C69+C70</f>
        <v>2</v>
      </c>
      <c r="D71" s="149"/>
      <c r="E71" s="150"/>
      <c r="F71" s="150"/>
      <c r="G71" s="151" t="n">
        <f aca="false">G69+G70</f>
        <v>21677</v>
      </c>
      <c r="H71" s="151" t="n">
        <f aca="false">H69+H70</f>
        <v>21677</v>
      </c>
      <c r="I71" s="151"/>
      <c r="J71" s="151"/>
      <c r="K71" s="151" t="n">
        <f aca="false">K69+K70</f>
        <v>0</v>
      </c>
      <c r="L71" s="151" t="n">
        <f aca="false">L69+L70</f>
        <v>0</v>
      </c>
      <c r="M71" s="151" t="n">
        <f aca="false">M69+M70</f>
        <v>0</v>
      </c>
      <c r="N71" s="151" t="n">
        <f aca="false">N69+N70</f>
        <v>0</v>
      </c>
      <c r="O71" s="151" t="n">
        <f aca="false">O69+O70</f>
        <v>0</v>
      </c>
      <c r="P71" s="151" t="n">
        <f aca="false">P69+P70</f>
        <v>0</v>
      </c>
      <c r="Q71" s="151" t="n">
        <f aca="false">Q69+Q70</f>
        <v>0</v>
      </c>
      <c r="R71" s="151" t="n">
        <f aca="false">R69+R70</f>
        <v>0</v>
      </c>
      <c r="S71" s="151" t="n">
        <f aca="false">S69+S70</f>
        <v>0</v>
      </c>
      <c r="T71" s="151" t="n">
        <f aca="false">T69+T70</f>
        <v>0</v>
      </c>
      <c r="U71" s="151" t="n">
        <f aca="false">U69+U70</f>
        <v>21677</v>
      </c>
      <c r="V71" s="152" t="n">
        <f aca="false">V69+V70</f>
        <v>260124</v>
      </c>
      <c r="W71" s="117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4"/>
      <c r="AN71" s="154"/>
      <c r="AO71" s="154"/>
      <c r="AP71" s="154"/>
      <c r="AQ71" s="154"/>
    </row>
    <row r="72" s="66" customFormat="true" ht="28.5" hidden="false" customHeight="true" outlineLevel="0" collapsed="false">
      <c r="A72" s="180" t="n">
        <v>38</v>
      </c>
      <c r="B72" s="181" t="s">
        <v>118</v>
      </c>
      <c r="C72" s="182" t="n">
        <v>5</v>
      </c>
      <c r="D72" s="162" t="s">
        <v>119</v>
      </c>
      <c r="E72" s="182" t="n">
        <f aca="false">$Z$19</f>
        <v>1.2</v>
      </c>
      <c r="F72" s="162" t="n">
        <f aca="false">ROUND(($AF$10*$AE$12*$AF$11*E72)/$AF$13,2)</f>
        <v>45.45</v>
      </c>
      <c r="G72" s="163" t="n">
        <f aca="false">ROUND(F72*$AH$13,2)</f>
        <v>7487.89</v>
      </c>
      <c r="H72" s="163" t="n">
        <f aca="false">C72*G72</f>
        <v>37439.45</v>
      </c>
      <c r="I72" s="163" t="n">
        <f aca="false">ROUND(H72*4%,2)</f>
        <v>1497.58</v>
      </c>
      <c r="J72" s="163"/>
      <c r="K72" s="163"/>
      <c r="L72" s="163"/>
      <c r="M72" s="163"/>
      <c r="N72" s="163"/>
      <c r="O72" s="163"/>
      <c r="P72" s="163" t="n">
        <f aca="false">ROUND(((F72*53.23)*35%)*C72,2)</f>
        <v>4233.78</v>
      </c>
      <c r="Q72" s="163" t="n">
        <f aca="false">ROUND((F72*5.5)*C72,2)</f>
        <v>1249.88</v>
      </c>
      <c r="R72" s="163"/>
      <c r="S72" s="163"/>
      <c r="T72" s="163"/>
      <c r="U72" s="163" t="n">
        <f aca="false">H72+I72+K72+L72+M72+N72+O72+P72+Q72+R72+S72</f>
        <v>44420.69</v>
      </c>
      <c r="V72" s="72" t="n">
        <f aca="false">(U72*$AK$20)</f>
        <v>533048.28</v>
      </c>
      <c r="W72" s="117"/>
      <c r="X72" s="146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5"/>
      <c r="AN72" s="65"/>
      <c r="AO72" s="65"/>
      <c r="AP72" s="65"/>
      <c r="AQ72" s="65"/>
    </row>
    <row r="73" s="155" customFormat="true" ht="16.5" hidden="false" customHeight="true" outlineLevel="0" collapsed="false">
      <c r="A73" s="183" t="s">
        <v>120</v>
      </c>
      <c r="B73" s="184"/>
      <c r="C73" s="150" t="n">
        <f aca="false">C72</f>
        <v>5</v>
      </c>
      <c r="D73" s="149"/>
      <c r="E73" s="150"/>
      <c r="F73" s="150"/>
      <c r="G73" s="151" t="n">
        <f aca="false">G72</f>
        <v>7487.89</v>
      </c>
      <c r="H73" s="151" t="n">
        <f aca="false">H72</f>
        <v>37439.45</v>
      </c>
      <c r="I73" s="151" t="n">
        <f aca="false">I72</f>
        <v>1497.58</v>
      </c>
      <c r="J73" s="151"/>
      <c r="K73" s="151" t="n">
        <f aca="false">K72</f>
        <v>0</v>
      </c>
      <c r="L73" s="151" t="n">
        <f aca="false">L72</f>
        <v>0</v>
      </c>
      <c r="M73" s="151" t="n">
        <f aca="false">M72</f>
        <v>0</v>
      </c>
      <c r="N73" s="151" t="n">
        <f aca="false">N72</f>
        <v>0</v>
      </c>
      <c r="O73" s="151" t="n">
        <f aca="false">O72</f>
        <v>0</v>
      </c>
      <c r="P73" s="151" t="n">
        <f aca="false">P72</f>
        <v>4233.78</v>
      </c>
      <c r="Q73" s="151" t="n">
        <f aca="false">Q72</f>
        <v>1249.88</v>
      </c>
      <c r="R73" s="151"/>
      <c r="S73" s="151"/>
      <c r="T73" s="151"/>
      <c r="U73" s="151" t="n">
        <f aca="false">U72</f>
        <v>44420.69</v>
      </c>
      <c r="V73" s="152" t="n">
        <f aca="false">V72</f>
        <v>533048.28</v>
      </c>
      <c r="W73" s="117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4"/>
      <c r="AN73" s="154"/>
      <c r="AO73" s="154"/>
      <c r="AP73" s="154"/>
      <c r="AQ73" s="154"/>
    </row>
    <row r="74" s="155" customFormat="true" ht="33" hidden="false" customHeight="true" outlineLevel="0" collapsed="false">
      <c r="A74" s="185" t="s">
        <v>121</v>
      </c>
      <c r="B74" s="185"/>
      <c r="C74" s="186" t="n">
        <f aca="false">C71+C73</f>
        <v>7</v>
      </c>
      <c r="D74" s="187"/>
      <c r="E74" s="186"/>
      <c r="F74" s="186"/>
      <c r="G74" s="87" t="n">
        <f aca="false">G71+G73</f>
        <v>29164.89</v>
      </c>
      <c r="H74" s="87" t="n">
        <f aca="false">H71+H73</f>
        <v>59116.45</v>
      </c>
      <c r="I74" s="87" t="n">
        <f aca="false">I71+I73</f>
        <v>1497.58</v>
      </c>
      <c r="J74" s="87"/>
      <c r="K74" s="87" t="n">
        <f aca="false">K71+K73</f>
        <v>0</v>
      </c>
      <c r="L74" s="87" t="n">
        <f aca="false">L71+L73</f>
        <v>0</v>
      </c>
      <c r="M74" s="87" t="n">
        <f aca="false">M71+M73</f>
        <v>0</v>
      </c>
      <c r="N74" s="87" t="n">
        <f aca="false">N71+N73</f>
        <v>0</v>
      </c>
      <c r="O74" s="87" t="n">
        <f aca="false">O71+O73</f>
        <v>0</v>
      </c>
      <c r="P74" s="87" t="n">
        <f aca="false">P71+P73</f>
        <v>4233.78</v>
      </c>
      <c r="Q74" s="87" t="n">
        <f aca="false">Q71+Q73</f>
        <v>1249.88</v>
      </c>
      <c r="R74" s="87" t="n">
        <f aca="false">R71+R73</f>
        <v>0</v>
      </c>
      <c r="S74" s="87" t="n">
        <f aca="false">S71+S73</f>
        <v>0</v>
      </c>
      <c r="T74" s="87" t="n">
        <f aca="false">T71+T73</f>
        <v>0</v>
      </c>
      <c r="U74" s="87" t="n">
        <f aca="false">U71+U73</f>
        <v>66097.69</v>
      </c>
      <c r="V74" s="188" t="n">
        <f aca="false">V71+V73</f>
        <v>793172.28</v>
      </c>
      <c r="W74" s="117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4"/>
      <c r="AN74" s="154"/>
      <c r="AO74" s="154"/>
      <c r="AP74" s="154"/>
      <c r="AQ74" s="154"/>
    </row>
    <row r="75" s="155" customFormat="true" ht="16.5" hidden="false" customHeight="false" outlineLevel="0" collapsed="false">
      <c r="A75" s="157" t="s">
        <v>122</v>
      </c>
      <c r="B75" s="158"/>
      <c r="C75" s="158"/>
      <c r="D75" s="159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60"/>
      <c r="W75" s="117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4"/>
      <c r="AN75" s="154"/>
      <c r="AO75" s="154"/>
      <c r="AP75" s="154"/>
      <c r="AQ75" s="154"/>
    </row>
    <row r="76" s="66" customFormat="true" ht="17.25" hidden="false" customHeight="true" outlineLevel="0" collapsed="false">
      <c r="A76" s="105" t="n">
        <v>39</v>
      </c>
      <c r="B76" s="59" t="s">
        <v>114</v>
      </c>
      <c r="C76" s="60" t="n">
        <v>1</v>
      </c>
      <c r="D76" s="145" t="n">
        <v>2.3</v>
      </c>
      <c r="E76" s="60"/>
      <c r="F76" s="60"/>
      <c r="G76" s="62" t="n">
        <f aca="false">ROUND($AF$10*$AF$11*D76*$AF$12,0)</f>
        <v>12622</v>
      </c>
      <c r="H76" s="62" t="n">
        <f aca="false">C76*G76</f>
        <v>12622</v>
      </c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 t="n">
        <f aca="false">H76+I76+K76+L76+M76+N76+O76+P76+Q76+R76+S76</f>
        <v>12622</v>
      </c>
      <c r="V76" s="63" t="n">
        <f aca="false">(U76*$AK$20)</f>
        <v>151464</v>
      </c>
      <c r="W76" s="117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5"/>
      <c r="AN76" s="65"/>
      <c r="AO76" s="65"/>
      <c r="AP76" s="65"/>
      <c r="AQ76" s="65"/>
    </row>
    <row r="77" s="66" customFormat="true" ht="16.5" hidden="false" customHeight="false" outlineLevel="0" collapsed="false">
      <c r="A77" s="147" t="n">
        <v>40</v>
      </c>
      <c r="B77" s="79" t="s">
        <v>115</v>
      </c>
      <c r="C77" s="80" t="n">
        <v>1</v>
      </c>
      <c r="D77" s="81" t="n">
        <v>1.65</v>
      </c>
      <c r="E77" s="80"/>
      <c r="F77" s="80"/>
      <c r="G77" s="82" t="n">
        <f aca="false">ROUND($AF$10*$AF$11*D77*$AF$12,0)</f>
        <v>9055</v>
      </c>
      <c r="H77" s="82" t="n">
        <f aca="false">C77*G77</f>
        <v>9055</v>
      </c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 t="n">
        <f aca="false">H77+I77+K77+L77+M77+N77+O77+P77+Q77+R77+S77</f>
        <v>9055</v>
      </c>
      <c r="V77" s="83" t="n">
        <f aca="false">(U77*$AK$20)</f>
        <v>108660</v>
      </c>
      <c r="W77" s="117" t="n">
        <f aca="false">V77</f>
        <v>108660</v>
      </c>
      <c r="X77" s="146" t="n">
        <f aca="false">W77*8.41%</f>
        <v>9138.306</v>
      </c>
      <c r="Y77" s="64" t="s">
        <v>123</v>
      </c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5"/>
      <c r="AN77" s="65"/>
      <c r="AO77" s="65"/>
      <c r="AP77" s="65"/>
      <c r="AQ77" s="65"/>
    </row>
    <row r="78" s="155" customFormat="true" ht="15.75" hidden="false" customHeight="true" outlineLevel="0" collapsed="false">
      <c r="A78" s="148" t="s">
        <v>117</v>
      </c>
      <c r="B78" s="148"/>
      <c r="C78" s="150" t="n">
        <f aca="false">C76+C77</f>
        <v>2</v>
      </c>
      <c r="D78" s="149"/>
      <c r="E78" s="150"/>
      <c r="F78" s="150"/>
      <c r="G78" s="151" t="n">
        <f aca="false">G76+G77</f>
        <v>21677</v>
      </c>
      <c r="H78" s="151" t="n">
        <f aca="false">H76+H77</f>
        <v>21677</v>
      </c>
      <c r="I78" s="151" t="n">
        <f aca="false">I76+I77</f>
        <v>0</v>
      </c>
      <c r="J78" s="151"/>
      <c r="K78" s="151" t="n">
        <f aca="false">K76+K77</f>
        <v>0</v>
      </c>
      <c r="L78" s="151" t="n">
        <f aca="false">L76+L77</f>
        <v>0</v>
      </c>
      <c r="M78" s="151" t="n">
        <f aca="false">M76+M77</f>
        <v>0</v>
      </c>
      <c r="N78" s="151" t="n">
        <f aca="false">N76+N77</f>
        <v>0</v>
      </c>
      <c r="O78" s="151" t="n">
        <f aca="false">O76+O77</f>
        <v>0</v>
      </c>
      <c r="P78" s="151" t="n">
        <f aca="false">P76+P77</f>
        <v>0</v>
      </c>
      <c r="Q78" s="151" t="n">
        <f aca="false">Q76+Q77</f>
        <v>0</v>
      </c>
      <c r="R78" s="151" t="n">
        <f aca="false">R76+R77</f>
        <v>0</v>
      </c>
      <c r="S78" s="151" t="n">
        <f aca="false">S76+S77</f>
        <v>0</v>
      </c>
      <c r="T78" s="151" t="n">
        <f aca="false">T76+T77</f>
        <v>0</v>
      </c>
      <c r="U78" s="151" t="n">
        <f aca="false">U76+U77</f>
        <v>21677</v>
      </c>
      <c r="V78" s="152" t="n">
        <f aca="false">V76+V77</f>
        <v>260124</v>
      </c>
      <c r="W78" s="117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4"/>
      <c r="AN78" s="154"/>
      <c r="AO78" s="154"/>
      <c r="AP78" s="154"/>
      <c r="AQ78" s="154"/>
    </row>
    <row r="79" s="66" customFormat="true" ht="27" hidden="false" customHeight="true" outlineLevel="0" collapsed="false">
      <c r="A79" s="180" t="n">
        <v>41</v>
      </c>
      <c r="B79" s="181" t="s">
        <v>124</v>
      </c>
      <c r="C79" s="182" t="n">
        <v>2</v>
      </c>
      <c r="D79" s="162" t="s">
        <v>119</v>
      </c>
      <c r="E79" s="182" t="n">
        <f aca="false">$Z$19</f>
        <v>1.2</v>
      </c>
      <c r="F79" s="162" t="n">
        <f aca="false">ROUND(($AF$10*$AE$12*$AF$11*E79)/$AF$13,2)</f>
        <v>45.45</v>
      </c>
      <c r="G79" s="163" t="n">
        <f aca="false">ROUND(F79*$AH$13,2)</f>
        <v>7487.89</v>
      </c>
      <c r="H79" s="163" t="n">
        <f aca="false">C79*G79</f>
        <v>14975.78</v>
      </c>
      <c r="I79" s="163" t="n">
        <f aca="false">ROUND(H79*4%,2)</f>
        <v>599.03</v>
      </c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 t="n">
        <f aca="false">H79+I79+K79+L79+M79+N79+O79+P79+Q79+R79+S79</f>
        <v>15574.81</v>
      </c>
      <c r="V79" s="63" t="n">
        <f aca="false">(U79*$AK$20)</f>
        <v>186897.72</v>
      </c>
      <c r="W79" s="117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5"/>
      <c r="AN79" s="65"/>
      <c r="AO79" s="65"/>
      <c r="AP79" s="65"/>
      <c r="AQ79" s="65"/>
    </row>
    <row r="80" s="155" customFormat="true" ht="15.75" hidden="false" customHeight="true" outlineLevel="0" collapsed="false">
      <c r="A80" s="148" t="s">
        <v>125</v>
      </c>
      <c r="B80" s="148"/>
      <c r="C80" s="150" t="n">
        <f aca="false">C79</f>
        <v>2</v>
      </c>
      <c r="D80" s="149"/>
      <c r="E80" s="150"/>
      <c r="F80" s="150"/>
      <c r="G80" s="151" t="n">
        <f aca="false">G79</f>
        <v>7487.89</v>
      </c>
      <c r="H80" s="151" t="n">
        <f aca="false">H79</f>
        <v>14975.78</v>
      </c>
      <c r="I80" s="151" t="n">
        <f aca="false">I79</f>
        <v>599.03</v>
      </c>
      <c r="J80" s="151"/>
      <c r="K80" s="151" t="n">
        <f aca="false">K79</f>
        <v>0</v>
      </c>
      <c r="L80" s="151" t="n">
        <f aca="false">L79</f>
        <v>0</v>
      </c>
      <c r="M80" s="151" t="n">
        <f aca="false">M79</f>
        <v>0</v>
      </c>
      <c r="N80" s="151" t="n">
        <f aca="false">N79</f>
        <v>0</v>
      </c>
      <c r="O80" s="151" t="n">
        <f aca="false">O79</f>
        <v>0</v>
      </c>
      <c r="P80" s="151" t="n">
        <f aca="false">P79</f>
        <v>0</v>
      </c>
      <c r="Q80" s="151" t="n">
        <f aca="false">Q79</f>
        <v>0</v>
      </c>
      <c r="R80" s="151" t="n">
        <f aca="false">R79</f>
        <v>0</v>
      </c>
      <c r="S80" s="151" t="n">
        <f aca="false">S79</f>
        <v>0</v>
      </c>
      <c r="T80" s="151" t="n">
        <f aca="false">T79</f>
        <v>0</v>
      </c>
      <c r="U80" s="151" t="n">
        <f aca="false">U79</f>
        <v>15574.81</v>
      </c>
      <c r="V80" s="152" t="n">
        <f aca="false">V79</f>
        <v>186897.72</v>
      </c>
      <c r="W80" s="189" t="n">
        <f aca="false">W79</f>
        <v>0</v>
      </c>
      <c r="X80" s="151" t="n">
        <f aca="false">X79</f>
        <v>0</v>
      </c>
      <c r="Y80" s="151" t="n">
        <f aca="false">Y79</f>
        <v>0</v>
      </c>
      <c r="Z80" s="151" t="n">
        <f aca="false">Z79</f>
        <v>0</v>
      </c>
      <c r="AA80" s="151" t="n">
        <f aca="false">AA79</f>
        <v>0</v>
      </c>
      <c r="AB80" s="151" t="n">
        <f aca="false">AB79</f>
        <v>0</v>
      </c>
      <c r="AC80" s="151" t="n">
        <f aca="false">AC79</f>
        <v>0</v>
      </c>
      <c r="AD80" s="151" t="n">
        <f aca="false">AD79</f>
        <v>0</v>
      </c>
      <c r="AE80" s="151" t="n">
        <f aca="false">AE79</f>
        <v>0</v>
      </c>
      <c r="AF80" s="151" t="n">
        <f aca="false">AF79</f>
        <v>0</v>
      </c>
      <c r="AG80" s="151" t="n">
        <f aca="false">AG79</f>
        <v>0</v>
      </c>
      <c r="AH80" s="151" t="n">
        <f aca="false">AH79</f>
        <v>0</v>
      </c>
      <c r="AI80" s="151" t="n">
        <f aca="false">AI79</f>
        <v>0</v>
      </c>
      <c r="AJ80" s="151" t="n">
        <f aca="false">AJ79</f>
        <v>0</v>
      </c>
      <c r="AK80" s="153"/>
      <c r="AL80" s="153"/>
      <c r="AM80" s="154"/>
      <c r="AN80" s="154"/>
      <c r="AO80" s="154"/>
      <c r="AP80" s="154"/>
      <c r="AQ80" s="154"/>
    </row>
    <row r="81" s="104" customFormat="true" ht="30" hidden="false" customHeight="true" outlineLevel="0" collapsed="false">
      <c r="A81" s="84" t="s">
        <v>126</v>
      </c>
      <c r="B81" s="84"/>
      <c r="C81" s="85" t="n">
        <f aca="false">C78+C80</f>
        <v>4</v>
      </c>
      <c r="D81" s="86"/>
      <c r="E81" s="85"/>
      <c r="F81" s="85"/>
      <c r="G81" s="87" t="n">
        <f aca="false">G78+G80</f>
        <v>29164.89</v>
      </c>
      <c r="H81" s="87" t="n">
        <f aca="false">H78+H80</f>
        <v>36652.78</v>
      </c>
      <c r="I81" s="87" t="n">
        <f aca="false">I78+I80</f>
        <v>599.03</v>
      </c>
      <c r="J81" s="87"/>
      <c r="K81" s="87" t="n">
        <f aca="false">K78+K80</f>
        <v>0</v>
      </c>
      <c r="L81" s="87" t="n">
        <f aca="false">L78+L80</f>
        <v>0</v>
      </c>
      <c r="M81" s="87" t="n">
        <f aca="false">M78+M80</f>
        <v>0</v>
      </c>
      <c r="N81" s="87" t="n">
        <f aca="false">N78+N80</f>
        <v>0</v>
      </c>
      <c r="O81" s="87" t="n">
        <f aca="false">O78+O80</f>
        <v>0</v>
      </c>
      <c r="P81" s="87" t="n">
        <f aca="false">P78+P80</f>
        <v>0</v>
      </c>
      <c r="Q81" s="87" t="n">
        <f aca="false">Q78+Q80</f>
        <v>0</v>
      </c>
      <c r="R81" s="87" t="n">
        <f aca="false">R78+R80</f>
        <v>0</v>
      </c>
      <c r="S81" s="87" t="n">
        <f aca="false">S78+S80</f>
        <v>0</v>
      </c>
      <c r="T81" s="87" t="n">
        <f aca="false">T78+T80</f>
        <v>0</v>
      </c>
      <c r="U81" s="87" t="n">
        <f aca="false">U78+U80</f>
        <v>37251.81</v>
      </c>
      <c r="V81" s="188" t="n">
        <f aca="false">V78+V80</f>
        <v>447021.72</v>
      </c>
      <c r="W81" s="123" t="n">
        <f aca="false">(V81-W77)*22%</f>
        <v>74439.5784</v>
      </c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3"/>
      <c r="AN81" s="103"/>
      <c r="AO81" s="103"/>
      <c r="AP81" s="103"/>
      <c r="AQ81" s="103"/>
    </row>
    <row r="82" s="155" customFormat="true" ht="16.5" hidden="false" customHeight="true" outlineLevel="0" collapsed="false">
      <c r="A82" s="156" t="s">
        <v>127</v>
      </c>
      <c r="B82" s="157"/>
      <c r="C82" s="158"/>
      <c r="D82" s="159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60"/>
      <c r="W82" s="117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4"/>
      <c r="AN82" s="154"/>
      <c r="AO82" s="154"/>
      <c r="AP82" s="154"/>
      <c r="AQ82" s="154"/>
    </row>
    <row r="83" s="66" customFormat="true" ht="19.5" hidden="false" customHeight="true" outlineLevel="0" collapsed="false">
      <c r="A83" s="190" t="n">
        <v>42</v>
      </c>
      <c r="B83" s="191" t="s">
        <v>128</v>
      </c>
      <c r="C83" s="150" t="n">
        <v>1</v>
      </c>
      <c r="D83" s="149" t="n">
        <v>1.9</v>
      </c>
      <c r="E83" s="150"/>
      <c r="F83" s="150"/>
      <c r="G83" s="151" t="n">
        <f aca="false">ROUND($AF$10*$AF$11*D83*$AF$12,0)</f>
        <v>10427</v>
      </c>
      <c r="H83" s="151" t="n">
        <f aca="false">C83*G83</f>
        <v>10427</v>
      </c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 t="n">
        <f aca="false">H83+I83+K83+L83+M83+N83+O83+P83+Q83+R83+S83</f>
        <v>10427</v>
      </c>
      <c r="V83" s="83" t="n">
        <f aca="false">(U83*$AK$20)</f>
        <v>125124</v>
      </c>
      <c r="W83" s="117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5"/>
      <c r="AN83" s="65"/>
      <c r="AO83" s="65"/>
      <c r="AP83" s="65"/>
      <c r="AQ83" s="65"/>
    </row>
    <row r="84" s="155" customFormat="true" ht="20.25" hidden="false" customHeight="true" outlineLevel="0" collapsed="false">
      <c r="A84" s="192" t="s">
        <v>129</v>
      </c>
      <c r="B84" s="192"/>
      <c r="C84" s="193" t="n">
        <f aca="false">C83</f>
        <v>1</v>
      </c>
      <c r="D84" s="194"/>
      <c r="E84" s="193"/>
      <c r="F84" s="193"/>
      <c r="G84" s="195" t="n">
        <f aca="false">G83</f>
        <v>10427</v>
      </c>
      <c r="H84" s="195" t="n">
        <f aca="false">H83</f>
        <v>10427</v>
      </c>
      <c r="I84" s="195"/>
      <c r="J84" s="195"/>
      <c r="K84" s="195" t="n">
        <f aca="false">K83</f>
        <v>0</v>
      </c>
      <c r="L84" s="195" t="n">
        <f aca="false">L83</f>
        <v>0</v>
      </c>
      <c r="M84" s="195" t="n">
        <f aca="false">M83</f>
        <v>0</v>
      </c>
      <c r="N84" s="195" t="n">
        <f aca="false">N83</f>
        <v>0</v>
      </c>
      <c r="O84" s="195" t="n">
        <f aca="false">O83</f>
        <v>0</v>
      </c>
      <c r="P84" s="195" t="n">
        <f aca="false">P83</f>
        <v>0</v>
      </c>
      <c r="Q84" s="195" t="n">
        <f aca="false">Q83</f>
        <v>0</v>
      </c>
      <c r="R84" s="195" t="n">
        <f aca="false">R83</f>
        <v>0</v>
      </c>
      <c r="S84" s="195" t="n">
        <f aca="false">S83</f>
        <v>0</v>
      </c>
      <c r="T84" s="195" t="n">
        <f aca="false">T83</f>
        <v>0</v>
      </c>
      <c r="U84" s="195" t="n">
        <f aca="false">U83</f>
        <v>10427</v>
      </c>
      <c r="V84" s="196" t="n">
        <f aca="false">V83</f>
        <v>125124</v>
      </c>
      <c r="W84" s="117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  <c r="AK84" s="153"/>
      <c r="AL84" s="153"/>
      <c r="AM84" s="154"/>
      <c r="AN84" s="154"/>
      <c r="AO84" s="154"/>
      <c r="AP84" s="154"/>
      <c r="AQ84" s="154"/>
    </row>
    <row r="85" s="66" customFormat="true" ht="34.5" hidden="false" customHeight="true" outlineLevel="0" collapsed="false">
      <c r="A85" s="105" t="n">
        <v>43</v>
      </c>
      <c r="B85" s="59" t="s">
        <v>130</v>
      </c>
      <c r="C85" s="60" t="n">
        <v>1</v>
      </c>
      <c r="D85" s="145" t="s">
        <v>131</v>
      </c>
      <c r="E85" s="60" t="n">
        <f aca="false">$AB$19</f>
        <v>1.54</v>
      </c>
      <c r="F85" s="145" t="n">
        <f aca="false">ROUND(($AF$10*$AE$12*$AF$11*E85)/$AF$13,2)</f>
        <v>58.33</v>
      </c>
      <c r="G85" s="62" t="n">
        <f aca="false">ROUND(F85*$AH$13,2)</f>
        <v>9609.87</v>
      </c>
      <c r="H85" s="62" t="n">
        <f aca="false">C85*G85</f>
        <v>9609.87</v>
      </c>
      <c r="I85" s="62" t="n">
        <f aca="false">ROUND(H85*4%,2)</f>
        <v>384.39</v>
      </c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 t="n">
        <f aca="false">H85+I85+K85+L85+M85+N85+O85+P85+Q85+R85+S85</f>
        <v>9994.26</v>
      </c>
      <c r="V85" s="63" t="n">
        <f aca="false">(U85*$AK$20)</f>
        <v>119931.12</v>
      </c>
      <c r="W85" s="117" t="n">
        <f aca="false">V85</f>
        <v>119931.12</v>
      </c>
      <c r="X85" s="146" t="n">
        <f aca="false">W85*8.41%</f>
        <v>10086.207192</v>
      </c>
      <c r="Y85" s="146" t="s">
        <v>132</v>
      </c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5"/>
      <c r="AN85" s="65"/>
      <c r="AO85" s="65"/>
      <c r="AP85" s="65"/>
      <c r="AQ85" s="65"/>
    </row>
    <row r="86" s="66" customFormat="true" ht="34.5" hidden="false" customHeight="true" outlineLevel="0" collapsed="false">
      <c r="A86" s="111" t="n">
        <v>44</v>
      </c>
      <c r="B86" s="68" t="s">
        <v>133</v>
      </c>
      <c r="C86" s="69" t="n">
        <v>3</v>
      </c>
      <c r="D86" s="14" t="s">
        <v>131</v>
      </c>
      <c r="E86" s="69" t="n">
        <f aca="false">$AB$19</f>
        <v>1.54</v>
      </c>
      <c r="F86" s="14" t="n">
        <f aca="false">ROUND(($AF$10*$AE$12*$AF$11*E86)/$AF$13,2)</f>
        <v>58.33</v>
      </c>
      <c r="G86" s="71" t="n">
        <f aca="false">ROUND(F86*$AH$13,2)</f>
        <v>9609.87</v>
      </c>
      <c r="H86" s="71" t="n">
        <f aca="false">C86*G86</f>
        <v>28829.61</v>
      </c>
      <c r="I86" s="71" t="n">
        <f aca="false">ROUND(H86*4%,2)</f>
        <v>1153.18</v>
      </c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 t="n">
        <f aca="false">H86+I86+K86+L86+M86+N86+O86+P86+Q86+R86+S86</f>
        <v>29982.79</v>
      </c>
      <c r="V86" s="72" t="n">
        <f aca="false">(U86*$AK$20)</f>
        <v>359793.48</v>
      </c>
      <c r="W86" s="117"/>
      <c r="X86" s="64"/>
      <c r="Y86" s="146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5"/>
      <c r="AN86" s="65"/>
      <c r="AO86" s="65"/>
      <c r="AP86" s="65"/>
      <c r="AQ86" s="65"/>
    </row>
    <row r="87" s="66" customFormat="true" ht="34.5" hidden="false" customHeight="true" outlineLevel="0" collapsed="false">
      <c r="A87" s="111" t="n">
        <v>45</v>
      </c>
      <c r="B87" s="68" t="s">
        <v>134</v>
      </c>
      <c r="C87" s="69" t="n">
        <v>2</v>
      </c>
      <c r="D87" s="14" t="s">
        <v>93</v>
      </c>
      <c r="E87" s="69" t="n">
        <f aca="false">$AA$19</f>
        <v>1.35</v>
      </c>
      <c r="F87" s="14" t="n">
        <f aca="false">ROUND(($AF$10*$AE$12*$AF$11*E87)/$AF$13,2)</f>
        <v>51.14</v>
      </c>
      <c r="G87" s="71" t="n">
        <f aca="false">ROUND(F87*$AH$13,2)</f>
        <v>8425.32</v>
      </c>
      <c r="H87" s="71" t="n">
        <f aca="false">C87*G87</f>
        <v>16850.64</v>
      </c>
      <c r="I87" s="71" t="n">
        <f aca="false">ROUND(H87*4%,2)</f>
        <v>674.03</v>
      </c>
      <c r="J87" s="71"/>
      <c r="K87" s="71"/>
      <c r="L87" s="71"/>
      <c r="M87" s="71"/>
      <c r="N87" s="71"/>
      <c r="O87" s="71"/>
      <c r="P87" s="71" t="n">
        <f aca="false">ROUND(((F87*53.23)*35%)*C87,2)</f>
        <v>1905.53</v>
      </c>
      <c r="Q87" s="71" t="n">
        <f aca="false">ROUND((F87*5.5)*C87,2)</f>
        <v>562.54</v>
      </c>
      <c r="R87" s="71"/>
      <c r="S87" s="71"/>
      <c r="T87" s="71"/>
      <c r="U87" s="71" t="n">
        <f aca="false">H87+I87+K87+L87+M87+N87+O87+P87+Q87+R87+S87</f>
        <v>19992.74</v>
      </c>
      <c r="V87" s="72" t="n">
        <f aca="false">(U87*$AK$20)</f>
        <v>239912.88</v>
      </c>
      <c r="W87" s="117"/>
      <c r="X87" s="146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5"/>
      <c r="AN87" s="65"/>
      <c r="AO87" s="65"/>
      <c r="AP87" s="65"/>
      <c r="AQ87" s="65"/>
    </row>
    <row r="88" s="66" customFormat="true" ht="34.5" hidden="false" customHeight="true" outlineLevel="0" collapsed="false">
      <c r="A88" s="111" t="n">
        <v>46</v>
      </c>
      <c r="B88" s="68" t="s">
        <v>133</v>
      </c>
      <c r="C88" s="69" t="n">
        <v>2</v>
      </c>
      <c r="D88" s="14" t="s">
        <v>119</v>
      </c>
      <c r="E88" s="69" t="n">
        <f aca="false">$Z$19</f>
        <v>1.2</v>
      </c>
      <c r="F88" s="14" t="n">
        <f aca="false">ROUND(($AF$10*$AE$12*$AF$11*E88)/$AF$13,2)</f>
        <v>45.45</v>
      </c>
      <c r="G88" s="71" t="n">
        <f aca="false">ROUND(F88*$AH$13,2)</f>
        <v>7487.89</v>
      </c>
      <c r="H88" s="71" t="n">
        <f aca="false">C88*G88</f>
        <v>14975.78</v>
      </c>
      <c r="I88" s="71" t="n">
        <f aca="false">ROUND(H88*4%,2)</f>
        <v>599.03</v>
      </c>
      <c r="J88" s="71"/>
      <c r="K88" s="71"/>
      <c r="L88" s="71"/>
      <c r="M88" s="71"/>
      <c r="N88" s="71"/>
      <c r="O88" s="71"/>
      <c r="P88" s="71" t="n">
        <f aca="false">ROUND(((F88*53.23)*35%)*C88,2)</f>
        <v>1693.51</v>
      </c>
      <c r="Q88" s="71" t="n">
        <f aca="false">ROUND((F88*5.5)*C88,2)</f>
        <v>499.95</v>
      </c>
      <c r="R88" s="71"/>
      <c r="S88" s="71"/>
      <c r="T88" s="71"/>
      <c r="U88" s="71" t="n">
        <f aca="false">H88+I88+K88+L88+M88+N88+O88+P88+Q88+R88+S88</f>
        <v>17768.27</v>
      </c>
      <c r="V88" s="72" t="n">
        <f aca="false">(U88*$AK$20)</f>
        <v>213219.24</v>
      </c>
      <c r="W88" s="117" t="n">
        <f aca="false">V88/2</f>
        <v>106609.62</v>
      </c>
      <c r="X88" s="146" t="n">
        <f aca="false">W88*8.41%</f>
        <v>8965.869042</v>
      </c>
      <c r="Y88" s="64" t="s">
        <v>135</v>
      </c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5"/>
      <c r="AN88" s="65"/>
      <c r="AO88" s="65"/>
      <c r="AP88" s="65"/>
      <c r="AQ88" s="65"/>
    </row>
    <row r="89" s="66" customFormat="true" ht="34.5" hidden="false" customHeight="true" outlineLevel="0" collapsed="false">
      <c r="A89" s="111" t="n">
        <v>47</v>
      </c>
      <c r="B89" s="68" t="s">
        <v>136</v>
      </c>
      <c r="C89" s="69" t="n">
        <v>1</v>
      </c>
      <c r="D89" s="14" t="s">
        <v>93</v>
      </c>
      <c r="E89" s="69" t="n">
        <f aca="false">$AA$19</f>
        <v>1.35</v>
      </c>
      <c r="F89" s="14" t="n">
        <f aca="false">ROUND(($AF$10*$AE$12*$AF$11*E89)/$AF$13,2)</f>
        <v>51.14</v>
      </c>
      <c r="G89" s="71" t="n">
        <f aca="false">ROUND(F89*$AH$13,2)</f>
        <v>8425.32</v>
      </c>
      <c r="H89" s="71" t="n">
        <f aca="false">C89*G89</f>
        <v>8425.32</v>
      </c>
      <c r="I89" s="71" t="n">
        <f aca="false">ROUND(H89*4%,2)</f>
        <v>337.01</v>
      </c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 t="n">
        <f aca="false">H89+I89+K89+L89+M89+N89+O89+P89+Q89+R89+S89</f>
        <v>8762.33</v>
      </c>
      <c r="V89" s="72" t="n">
        <f aca="false">(U89*$AK$20)</f>
        <v>105147.96</v>
      </c>
      <c r="W89" s="117"/>
      <c r="X89" s="64"/>
      <c r="Y89" s="146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5"/>
      <c r="AN89" s="65"/>
      <c r="AO89" s="65"/>
      <c r="AP89" s="65"/>
      <c r="AQ89" s="65"/>
    </row>
    <row r="90" s="66" customFormat="true" ht="34.5" hidden="false" customHeight="true" outlineLevel="0" collapsed="false">
      <c r="A90" s="147" t="n">
        <v>48</v>
      </c>
      <c r="B90" s="79" t="s">
        <v>137</v>
      </c>
      <c r="C90" s="80" t="n">
        <v>1</v>
      </c>
      <c r="D90" s="81" t="s">
        <v>131</v>
      </c>
      <c r="E90" s="80" t="n">
        <f aca="false">E86</f>
        <v>1.54</v>
      </c>
      <c r="F90" s="81" t="n">
        <f aca="false">ROUND(($AF$10*$AE$12*$AF$11*E90)/$AF$13,2)</f>
        <v>58.33</v>
      </c>
      <c r="G90" s="82" t="n">
        <f aca="false">ROUND(F90*$AH$13,2)</f>
        <v>9609.87</v>
      </c>
      <c r="H90" s="82" t="n">
        <f aca="false">C90*G90</f>
        <v>9609.87</v>
      </c>
      <c r="I90" s="82" t="n">
        <f aca="false">ROUND(H90*4%,2)</f>
        <v>384.39</v>
      </c>
      <c r="J90" s="82"/>
      <c r="K90" s="82"/>
      <c r="L90" s="82"/>
      <c r="M90" s="82"/>
      <c r="N90" s="82"/>
      <c r="O90" s="82"/>
      <c r="P90" s="82" t="n">
        <f aca="false">ROUND(((F90*53.23)*35%)*C90,2)</f>
        <v>1086.72</v>
      </c>
      <c r="Q90" s="82" t="n">
        <f aca="false">ROUND((F90*5.5)*C90,2)</f>
        <v>320.82</v>
      </c>
      <c r="R90" s="82"/>
      <c r="S90" s="82"/>
      <c r="T90" s="82"/>
      <c r="U90" s="82" t="n">
        <f aca="false">H90+I90+K90+L90+M90+N90+O90+P90+Q90+R90+S90</f>
        <v>11401.8</v>
      </c>
      <c r="V90" s="83" t="n">
        <f aca="false">(U90*$AK$20)</f>
        <v>136821.6</v>
      </c>
      <c r="W90" s="117"/>
      <c r="X90" s="64"/>
      <c r="Y90" s="146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5"/>
      <c r="AN90" s="65"/>
      <c r="AO90" s="65"/>
      <c r="AP90" s="65"/>
      <c r="AQ90" s="65"/>
    </row>
    <row r="91" s="155" customFormat="true" ht="16.5" hidden="false" customHeight="false" outlineLevel="0" collapsed="false">
      <c r="A91" s="197" t="s">
        <v>120</v>
      </c>
      <c r="B91" s="197"/>
      <c r="C91" s="198" t="n">
        <f aca="false">SUM(C85:C90)</f>
        <v>10</v>
      </c>
      <c r="D91" s="199"/>
      <c r="E91" s="198"/>
      <c r="F91" s="198"/>
      <c r="G91" s="200" t="n">
        <f aca="false">SUM(G85:G90)</f>
        <v>53168.14</v>
      </c>
      <c r="H91" s="200" t="n">
        <f aca="false">SUM(H85:H90)</f>
        <v>88301.09</v>
      </c>
      <c r="I91" s="200" t="n">
        <f aca="false">SUM(I85:I90)</f>
        <v>3532.03</v>
      </c>
      <c r="J91" s="200"/>
      <c r="K91" s="200" t="n">
        <f aca="false">SUM(K85:K90)</f>
        <v>0</v>
      </c>
      <c r="L91" s="200" t="n">
        <f aca="false">SUM(L85:L90)</f>
        <v>0</v>
      </c>
      <c r="M91" s="200" t="n">
        <f aca="false">SUM(M85:M90)</f>
        <v>0</v>
      </c>
      <c r="N91" s="200" t="n">
        <f aca="false">SUM(N85:N90)</f>
        <v>0</v>
      </c>
      <c r="O91" s="200" t="n">
        <f aca="false">SUM(O85:O90)</f>
        <v>0</v>
      </c>
      <c r="P91" s="200" t="n">
        <f aca="false">SUM(P85:P90)</f>
        <v>4685.76</v>
      </c>
      <c r="Q91" s="200" t="n">
        <f aca="false">SUM(Q85:Q90)</f>
        <v>1383.31</v>
      </c>
      <c r="R91" s="200" t="n">
        <f aca="false">SUM(R85:R90)</f>
        <v>0</v>
      </c>
      <c r="S91" s="200" t="n">
        <f aca="false">SUM(S85:S90)</f>
        <v>0</v>
      </c>
      <c r="T91" s="200" t="n">
        <f aca="false">SUM(T85:T90)</f>
        <v>0</v>
      </c>
      <c r="U91" s="200" t="n">
        <f aca="false">SUM(U85:U90)</f>
        <v>97902.19</v>
      </c>
      <c r="V91" s="201" t="n">
        <f aca="false">SUM(V85:V90)</f>
        <v>1174826.28</v>
      </c>
      <c r="W91" s="117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4"/>
      <c r="AN91" s="154"/>
      <c r="AO91" s="154"/>
      <c r="AP91" s="154"/>
      <c r="AQ91" s="154"/>
    </row>
    <row r="92" s="155" customFormat="true" ht="18" hidden="false" customHeight="true" outlineLevel="0" collapsed="false">
      <c r="A92" s="202" t="s">
        <v>138</v>
      </c>
      <c r="B92" s="202"/>
      <c r="C92" s="203" t="n">
        <f aca="false">C84+C91</f>
        <v>11</v>
      </c>
      <c r="D92" s="204"/>
      <c r="E92" s="203"/>
      <c r="F92" s="203"/>
      <c r="G92" s="178" t="n">
        <f aca="false">G91+G84</f>
        <v>63595.14</v>
      </c>
      <c r="H92" s="178" t="n">
        <f aca="false">H91+H84</f>
        <v>98728.09</v>
      </c>
      <c r="I92" s="178" t="n">
        <f aca="false">I91+I84</f>
        <v>3532.03</v>
      </c>
      <c r="J92" s="178" t="n">
        <f aca="false">J91+J84</f>
        <v>0</v>
      </c>
      <c r="K92" s="178" t="n">
        <f aca="false">K91+K84</f>
        <v>0</v>
      </c>
      <c r="L92" s="178" t="n">
        <f aca="false">L91+L84</f>
        <v>0</v>
      </c>
      <c r="M92" s="178" t="n">
        <f aca="false">M91+M84</f>
        <v>0</v>
      </c>
      <c r="N92" s="178" t="n">
        <f aca="false">N91+N84</f>
        <v>0</v>
      </c>
      <c r="O92" s="178" t="n">
        <f aca="false">O91+O84</f>
        <v>0</v>
      </c>
      <c r="P92" s="178" t="n">
        <f aca="false">P91+P84</f>
        <v>4685.76</v>
      </c>
      <c r="Q92" s="178" t="n">
        <f aca="false">Q91+Q84</f>
        <v>1383.31</v>
      </c>
      <c r="R92" s="178" t="n">
        <f aca="false">R91+R84</f>
        <v>0</v>
      </c>
      <c r="S92" s="178" t="n">
        <f aca="false">S91+S84</f>
        <v>0</v>
      </c>
      <c r="T92" s="178" t="n">
        <f aca="false">T91+T84</f>
        <v>0</v>
      </c>
      <c r="U92" s="178" t="n">
        <f aca="false">U91+U84</f>
        <v>108329.19</v>
      </c>
      <c r="V92" s="179" t="n">
        <f aca="false">V91+V84</f>
        <v>1299950.28</v>
      </c>
      <c r="W92" s="117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4"/>
      <c r="AN92" s="154"/>
      <c r="AO92" s="154"/>
      <c r="AP92" s="154"/>
      <c r="AQ92" s="154"/>
    </row>
    <row r="93" s="155" customFormat="true" ht="17.25" hidden="false" customHeight="true" outlineLevel="0" collapsed="false">
      <c r="A93" s="156" t="s">
        <v>139</v>
      </c>
      <c r="B93" s="157"/>
      <c r="C93" s="158"/>
      <c r="D93" s="159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60"/>
      <c r="W93" s="117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4"/>
      <c r="AN93" s="154"/>
      <c r="AO93" s="154"/>
      <c r="AP93" s="154"/>
      <c r="AQ93" s="154"/>
    </row>
    <row r="94" s="66" customFormat="true" ht="21" hidden="false" customHeight="true" outlineLevel="0" collapsed="false">
      <c r="A94" s="190" t="n">
        <v>49</v>
      </c>
      <c r="B94" s="191" t="s">
        <v>140</v>
      </c>
      <c r="C94" s="150" t="n">
        <v>1</v>
      </c>
      <c r="D94" s="149" t="n">
        <v>1.8</v>
      </c>
      <c r="E94" s="150"/>
      <c r="F94" s="150"/>
      <c r="G94" s="151" t="n">
        <f aca="false">ROUND($AF$10*$AF$11*D94*$AF$12,0)</f>
        <v>9878</v>
      </c>
      <c r="H94" s="151" t="n">
        <f aca="false">C94*G94</f>
        <v>9878</v>
      </c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 t="n">
        <f aca="false">H94+I94+K94+L94+M94+N94+O94+P94+Q94+R94+S94</f>
        <v>9878</v>
      </c>
      <c r="V94" s="205" t="n">
        <f aca="false">(U94*$AK$20)</f>
        <v>118536</v>
      </c>
      <c r="W94" s="117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5"/>
      <c r="AN94" s="65"/>
      <c r="AO94" s="65"/>
      <c r="AP94" s="65"/>
      <c r="AQ94" s="65"/>
    </row>
    <row r="95" s="155" customFormat="true" ht="18" hidden="false" customHeight="true" outlineLevel="0" collapsed="false">
      <c r="A95" s="192" t="s">
        <v>129</v>
      </c>
      <c r="B95" s="192"/>
      <c r="C95" s="193" t="n">
        <f aca="false">C94</f>
        <v>1</v>
      </c>
      <c r="D95" s="194"/>
      <c r="E95" s="193"/>
      <c r="F95" s="193"/>
      <c r="G95" s="195" t="n">
        <f aca="false">G94</f>
        <v>9878</v>
      </c>
      <c r="H95" s="195" t="n">
        <f aca="false">H94</f>
        <v>9878</v>
      </c>
      <c r="I95" s="195"/>
      <c r="J95" s="195"/>
      <c r="K95" s="195" t="n">
        <f aca="false">K94</f>
        <v>0</v>
      </c>
      <c r="L95" s="195" t="n">
        <f aca="false">L94</f>
        <v>0</v>
      </c>
      <c r="M95" s="195" t="n">
        <f aca="false">M94</f>
        <v>0</v>
      </c>
      <c r="N95" s="195" t="n">
        <f aca="false">N94</f>
        <v>0</v>
      </c>
      <c r="O95" s="195" t="n">
        <f aca="false">O94</f>
        <v>0</v>
      </c>
      <c r="P95" s="195" t="n">
        <f aca="false">P94</f>
        <v>0</v>
      </c>
      <c r="Q95" s="195" t="n">
        <f aca="false">Q94</f>
        <v>0</v>
      </c>
      <c r="R95" s="195" t="n">
        <f aca="false">R94</f>
        <v>0</v>
      </c>
      <c r="S95" s="195" t="n">
        <f aca="false">S94</f>
        <v>0</v>
      </c>
      <c r="T95" s="195" t="n">
        <f aca="false">T94</f>
        <v>0</v>
      </c>
      <c r="U95" s="195" t="n">
        <f aca="false">U94</f>
        <v>9878</v>
      </c>
      <c r="V95" s="206" t="n">
        <f aca="false">V94</f>
        <v>118536</v>
      </c>
      <c r="W95" s="117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4"/>
      <c r="AN95" s="154"/>
      <c r="AO95" s="154"/>
      <c r="AP95" s="154"/>
      <c r="AQ95" s="154"/>
    </row>
    <row r="96" s="66" customFormat="true" ht="15.75" hidden="false" customHeight="false" outlineLevel="0" collapsed="false">
      <c r="A96" s="105" t="n">
        <v>50</v>
      </c>
      <c r="B96" s="59" t="s">
        <v>141</v>
      </c>
      <c r="C96" s="60" t="n">
        <v>2</v>
      </c>
      <c r="D96" s="145" t="s">
        <v>93</v>
      </c>
      <c r="E96" s="60" t="n">
        <f aca="false">$AA$19</f>
        <v>1.35</v>
      </c>
      <c r="F96" s="145" t="n">
        <f aca="false">ROUND(($AF$10*$AE$12*$AF$11*E96)/$AF$13,2)</f>
        <v>51.14</v>
      </c>
      <c r="G96" s="62" t="n">
        <f aca="false">ROUND(F96*$AH$13,2)</f>
        <v>8425.32</v>
      </c>
      <c r="H96" s="62" t="n">
        <f aca="false">C96*G96</f>
        <v>16850.64</v>
      </c>
      <c r="I96" s="62" t="n">
        <f aca="false">ROUND(H96*8%,2)</f>
        <v>1348.05</v>
      </c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 t="n">
        <f aca="false">H96+I96+K96+L96+M96+N96+O96+P96+Q96+R96+S96</f>
        <v>18198.69</v>
      </c>
      <c r="V96" s="63" t="n">
        <f aca="false">(U96*$AK$20)</f>
        <v>218384.28</v>
      </c>
      <c r="W96" s="117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5"/>
      <c r="AN96" s="65"/>
      <c r="AO96" s="65"/>
      <c r="AP96" s="65"/>
      <c r="AQ96" s="65"/>
    </row>
    <row r="97" s="66" customFormat="true" ht="16.5" hidden="false" customHeight="false" outlineLevel="0" collapsed="false">
      <c r="A97" s="147" t="n">
        <v>51</v>
      </c>
      <c r="B97" s="79" t="s">
        <v>142</v>
      </c>
      <c r="C97" s="80" t="n">
        <v>1</v>
      </c>
      <c r="D97" s="81" t="s">
        <v>93</v>
      </c>
      <c r="E97" s="80" t="n">
        <f aca="false">$AA$19</f>
        <v>1.35</v>
      </c>
      <c r="F97" s="81" t="n">
        <f aca="false">ROUND(($AF$10*$AE$12*$AF$11*E97)/$AF$13,2)</f>
        <v>51.14</v>
      </c>
      <c r="G97" s="82" t="n">
        <f aca="false">ROUND(F97*$AH$13,2)</f>
        <v>8425.32</v>
      </c>
      <c r="H97" s="82" t="n">
        <f aca="false">C97*G97</f>
        <v>8425.32</v>
      </c>
      <c r="I97" s="82" t="n">
        <f aca="false">ROUND(H97*8%,2)</f>
        <v>674.03</v>
      </c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 t="n">
        <f aca="false">H97+I97+K97+L97+M97+N97+O97+P97+Q97+R97+S97</f>
        <v>9099.35</v>
      </c>
      <c r="V97" s="83" t="n">
        <f aca="false">(U97*$AK$20)</f>
        <v>109192.2</v>
      </c>
      <c r="W97" s="117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5"/>
      <c r="AN97" s="65"/>
      <c r="AO97" s="65"/>
      <c r="AP97" s="65"/>
      <c r="AQ97" s="65"/>
    </row>
    <row r="98" s="155" customFormat="true" ht="16.5" hidden="false" customHeight="true" outlineLevel="0" collapsed="false">
      <c r="A98" s="207" t="s">
        <v>143</v>
      </c>
      <c r="B98" s="208"/>
      <c r="C98" s="198" t="n">
        <f aca="false">SUM(C96:C97)</f>
        <v>3</v>
      </c>
      <c r="D98" s="199"/>
      <c r="E98" s="198"/>
      <c r="F98" s="198"/>
      <c r="G98" s="200" t="n">
        <f aca="false">SUM(G96:G97)</f>
        <v>16850.64</v>
      </c>
      <c r="H98" s="200" t="n">
        <f aca="false">SUM(H96:H97)</f>
        <v>25275.96</v>
      </c>
      <c r="I98" s="200" t="n">
        <f aca="false">SUM(I96:I97)</f>
        <v>2022.08</v>
      </c>
      <c r="J98" s="200"/>
      <c r="K98" s="200" t="n">
        <f aca="false">SUM(K96:K97)</f>
        <v>0</v>
      </c>
      <c r="L98" s="200" t="n">
        <f aca="false">SUM(L96:L97)</f>
        <v>0</v>
      </c>
      <c r="M98" s="200" t="n">
        <f aca="false">SUM(M96:M97)</f>
        <v>0</v>
      </c>
      <c r="N98" s="200" t="n">
        <f aca="false">SUM(N96:N97)</f>
        <v>0</v>
      </c>
      <c r="O98" s="200" t="n">
        <f aca="false">SUM(O96:O97)</f>
        <v>0</v>
      </c>
      <c r="P98" s="200" t="n">
        <f aca="false">SUM(P96:P97)</f>
        <v>0</v>
      </c>
      <c r="Q98" s="200" t="n">
        <f aca="false">SUM(Q96:Q97)</f>
        <v>0</v>
      </c>
      <c r="R98" s="200" t="n">
        <f aca="false">SUM(R96:R97)</f>
        <v>0</v>
      </c>
      <c r="S98" s="200" t="n">
        <f aca="false">SUM(S96:S97)</f>
        <v>0</v>
      </c>
      <c r="T98" s="200" t="n">
        <f aca="false">SUM(T96:T97)</f>
        <v>0</v>
      </c>
      <c r="U98" s="200" t="n">
        <f aca="false">SUM(U96:U97)</f>
        <v>27298.04</v>
      </c>
      <c r="V98" s="209" t="n">
        <f aca="false">SUM(V96:V97)</f>
        <v>327576.48</v>
      </c>
      <c r="W98" s="117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4"/>
      <c r="AN98" s="154"/>
      <c r="AO98" s="154"/>
      <c r="AP98" s="154"/>
      <c r="AQ98" s="154"/>
    </row>
    <row r="99" s="155" customFormat="true" ht="16.5" hidden="false" customHeight="true" outlineLevel="0" collapsed="false">
      <c r="A99" s="210" t="s">
        <v>144</v>
      </c>
      <c r="B99" s="210"/>
      <c r="C99" s="85" t="n">
        <f aca="false">C95+C98</f>
        <v>4</v>
      </c>
      <c r="D99" s="86"/>
      <c r="E99" s="85"/>
      <c r="F99" s="85"/>
      <c r="G99" s="87" t="n">
        <f aca="false">G95+G98</f>
        <v>26728.64</v>
      </c>
      <c r="H99" s="87" t="n">
        <f aca="false">H95+H98</f>
        <v>35153.96</v>
      </c>
      <c r="I99" s="87" t="n">
        <f aca="false">I95+I98</f>
        <v>2022.08</v>
      </c>
      <c r="J99" s="87"/>
      <c r="K99" s="87" t="n">
        <f aca="false">K95+K98</f>
        <v>0</v>
      </c>
      <c r="L99" s="87" t="n">
        <f aca="false">L95+L98</f>
        <v>0</v>
      </c>
      <c r="M99" s="87" t="n">
        <f aca="false">M95+M98</f>
        <v>0</v>
      </c>
      <c r="N99" s="87" t="n">
        <f aca="false">N95+N98</f>
        <v>0</v>
      </c>
      <c r="O99" s="87" t="n">
        <f aca="false">O95+O98</f>
        <v>0</v>
      </c>
      <c r="P99" s="87" t="n">
        <f aca="false">P95+P98</f>
        <v>0</v>
      </c>
      <c r="Q99" s="87" t="n">
        <f aca="false">Q95+Q98</f>
        <v>0</v>
      </c>
      <c r="R99" s="87" t="n">
        <f aca="false">R95+R98</f>
        <v>0</v>
      </c>
      <c r="S99" s="87" t="n">
        <f aca="false">S95+S98</f>
        <v>0</v>
      </c>
      <c r="T99" s="87" t="n">
        <f aca="false">T95+T98</f>
        <v>0</v>
      </c>
      <c r="U99" s="87" t="n">
        <f aca="false">U95+U98</f>
        <v>37176.04</v>
      </c>
      <c r="V99" s="188" t="n">
        <f aca="false">V95+V98</f>
        <v>446112.48</v>
      </c>
      <c r="W99" s="117" t="e">
        <f aca="false">C99+#REF!+C92+C74+#REF!</f>
        <v>#REF!</v>
      </c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4"/>
      <c r="AN99" s="154"/>
      <c r="AO99" s="154"/>
      <c r="AP99" s="154"/>
      <c r="AQ99" s="154"/>
    </row>
    <row r="100" s="104" customFormat="true" ht="24.75" hidden="false" customHeight="true" outlineLevel="0" collapsed="false">
      <c r="A100" s="118" t="s">
        <v>145</v>
      </c>
      <c r="B100" s="118"/>
      <c r="C100" s="211" t="n">
        <f aca="false">SUM(C52,C58,C63,C67,C71,C78,C84,C95)</f>
        <v>18</v>
      </c>
      <c r="D100" s="211"/>
      <c r="E100" s="211"/>
      <c r="F100" s="211"/>
      <c r="G100" s="121" t="n">
        <f aca="false">SUM(G52,G58,G63,G67,G71,G78,G84,G95)</f>
        <v>178084</v>
      </c>
      <c r="H100" s="121" t="n">
        <f aca="false">SUM(H52,H58,H63,H67,H71,H78,H84,H95)</f>
        <v>187551</v>
      </c>
      <c r="I100" s="121" t="n">
        <f aca="false">SUM(I52,I58,I63,I67,I71,I78,I84,I95)</f>
        <v>0</v>
      </c>
      <c r="J100" s="121" t="n">
        <f aca="false">SUM(J52,J58,J63,J67,J71,J78,J84,J95)</f>
        <v>0</v>
      </c>
      <c r="K100" s="121" t="n">
        <f aca="false">SUM(K52,K58,K63,K67,K71,K78,K84,K95)</f>
        <v>0</v>
      </c>
      <c r="L100" s="121" t="n">
        <f aca="false">SUM(L52,L58,L63,L67,L71,L78,L84,L95)</f>
        <v>0</v>
      </c>
      <c r="M100" s="121" t="n">
        <f aca="false">SUM(M52,M58,M63,M67,M71,M78,M84,M95)</f>
        <v>0</v>
      </c>
      <c r="N100" s="121" t="n">
        <f aca="false">SUM(N52,N58,N63,N67,N71,N78,N84,N95)</f>
        <v>0</v>
      </c>
      <c r="O100" s="121" t="n">
        <f aca="false">SUM(O52,O58,O63,O67,O71,O78,O84,O95)</f>
        <v>0</v>
      </c>
      <c r="P100" s="121" t="n">
        <f aca="false">SUM(P52,P58,P63,P67,P71,P78,P84,P95)</f>
        <v>4034.03</v>
      </c>
      <c r="Q100" s="121" t="n">
        <f aca="false">SUM(Q52,Q58,Q63,Q67,Q71,Q78,Q84,Q95)</f>
        <v>1190.9</v>
      </c>
      <c r="R100" s="121" t="n">
        <f aca="false">SUM(R52,R58,R63,R67,R71,R78,R84,R95)</f>
        <v>0</v>
      </c>
      <c r="S100" s="121" t="n">
        <f aca="false">SUM(S52,S58,S63,S67,S71,S78,S84,S95)</f>
        <v>0</v>
      </c>
      <c r="T100" s="121" t="n">
        <f aca="false">SUM(T52,T58,T63,T67,T71,T78,T84,T95)</f>
        <v>0</v>
      </c>
      <c r="U100" s="121" t="n">
        <f aca="false">SUM(U52,U58,U63,U67,U71,U78,U84,U95)</f>
        <v>192775.93</v>
      </c>
      <c r="V100" s="122" t="n">
        <f aca="false">SUM(V52,V58,V63,V67,V71,V78,V84,V95)</f>
        <v>2313311.16</v>
      </c>
      <c r="W100" s="123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3"/>
      <c r="AN100" s="103"/>
      <c r="AO100" s="103"/>
      <c r="AP100" s="103"/>
      <c r="AQ100" s="103"/>
    </row>
    <row r="101" s="104" customFormat="true" ht="18" hidden="false" customHeight="true" outlineLevel="0" collapsed="false">
      <c r="A101" s="212" t="s">
        <v>146</v>
      </c>
      <c r="B101" s="212"/>
      <c r="C101" s="213" t="n">
        <f aca="false">C73+C91+C98+C80</f>
        <v>20</v>
      </c>
      <c r="D101" s="214"/>
      <c r="E101" s="214"/>
      <c r="F101" s="214"/>
      <c r="G101" s="215" t="n">
        <f aca="false">G73+G91+G98+G80</f>
        <v>84994.56</v>
      </c>
      <c r="H101" s="215" t="n">
        <f aca="false">H73+H91+H98+H80</f>
        <v>165992.28</v>
      </c>
      <c r="I101" s="215" t="n">
        <f aca="false">I73+I91+I98+I80</f>
        <v>7650.72</v>
      </c>
      <c r="J101" s="215" t="n">
        <f aca="false">J73+J91+J98+J80</f>
        <v>0</v>
      </c>
      <c r="K101" s="215" t="n">
        <f aca="false">K73+K91+K98+K80</f>
        <v>0</v>
      </c>
      <c r="L101" s="215" t="n">
        <f aca="false">L73+L91+L98+L80</f>
        <v>0</v>
      </c>
      <c r="M101" s="215" t="n">
        <f aca="false">M73+M91+M98+M80</f>
        <v>0</v>
      </c>
      <c r="N101" s="215" t="n">
        <f aca="false">N73+N91+N98+N80</f>
        <v>0</v>
      </c>
      <c r="O101" s="215" t="n">
        <f aca="false">O73+O91+O98+O80</f>
        <v>0</v>
      </c>
      <c r="P101" s="215" t="n">
        <f aca="false">P73+P91+P98+P80</f>
        <v>8919.54</v>
      </c>
      <c r="Q101" s="215" t="n">
        <f aca="false">Q73+Q91+Q98+Q80</f>
        <v>2633.19</v>
      </c>
      <c r="R101" s="215" t="n">
        <f aca="false">R73+R91+R98+R80</f>
        <v>0</v>
      </c>
      <c r="S101" s="215" t="n">
        <f aca="false">S73+S91+S98+S80</f>
        <v>0</v>
      </c>
      <c r="T101" s="215" t="n">
        <f aca="false">T73+T91+T98+T80</f>
        <v>0</v>
      </c>
      <c r="U101" s="215" t="n">
        <f aca="false">U73+U91+U98+U80</f>
        <v>185195.73</v>
      </c>
      <c r="V101" s="216" t="n">
        <f aca="false">V73+V91+V98+V80</f>
        <v>2222348.76</v>
      </c>
      <c r="W101" s="123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3"/>
      <c r="AN101" s="103"/>
      <c r="AO101" s="103"/>
      <c r="AP101" s="103"/>
      <c r="AQ101" s="103"/>
    </row>
    <row r="102" s="104" customFormat="true" ht="21.75" hidden="false" customHeight="true" outlineLevel="0" collapsed="false">
      <c r="A102" s="202" t="s">
        <v>147</v>
      </c>
      <c r="B102" s="202"/>
      <c r="C102" s="178" t="n">
        <f aca="false">SUM(C100:C101)</f>
        <v>38</v>
      </c>
      <c r="D102" s="178"/>
      <c r="E102" s="178"/>
      <c r="F102" s="178"/>
      <c r="G102" s="178" t="n">
        <f aca="false">SUM(G100:G101)</f>
        <v>263078.56</v>
      </c>
      <c r="H102" s="178" t="n">
        <f aca="false">SUM(H100:H101)</f>
        <v>353543.28</v>
      </c>
      <c r="I102" s="178" t="n">
        <f aca="false">SUM(I100:I101)</f>
        <v>7650.72</v>
      </c>
      <c r="J102" s="178" t="n">
        <f aca="false">SUM(J100:J101)</f>
        <v>0</v>
      </c>
      <c r="K102" s="178" t="n">
        <f aca="false">SUM(K100:K101)</f>
        <v>0</v>
      </c>
      <c r="L102" s="178" t="n">
        <f aca="false">SUM(L100:L101)</f>
        <v>0</v>
      </c>
      <c r="M102" s="178" t="n">
        <f aca="false">SUM(M100:M101)</f>
        <v>0</v>
      </c>
      <c r="N102" s="178" t="n">
        <f aca="false">SUM(N100:N101)</f>
        <v>0</v>
      </c>
      <c r="O102" s="178" t="n">
        <f aca="false">SUM(O100:O101)</f>
        <v>0</v>
      </c>
      <c r="P102" s="178" t="n">
        <f aca="false">SUM(P100:P101)</f>
        <v>12953.57</v>
      </c>
      <c r="Q102" s="178" t="n">
        <f aca="false">SUM(Q100:Q101)</f>
        <v>3824.09</v>
      </c>
      <c r="R102" s="178" t="n">
        <f aca="false">SUM(R100:R101)</f>
        <v>0</v>
      </c>
      <c r="S102" s="178" t="n">
        <f aca="false">SUM(S100:S101)</f>
        <v>0</v>
      </c>
      <c r="T102" s="178" t="n">
        <f aca="false">SUM(T100:T101)</f>
        <v>0</v>
      </c>
      <c r="U102" s="178" t="n">
        <f aca="false">SUM(U100:U101)</f>
        <v>377971.66</v>
      </c>
      <c r="V102" s="179" t="n">
        <f aca="false">SUM(V100:V101)</f>
        <v>4535659.92</v>
      </c>
      <c r="W102" s="123" t="n">
        <f aca="false">(V102-W87-W85-W88-W70)*22%</f>
        <v>924101.0196</v>
      </c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3"/>
      <c r="AN102" s="103"/>
      <c r="AO102" s="103"/>
      <c r="AP102" s="103"/>
      <c r="AQ102" s="103"/>
    </row>
    <row r="103" s="104" customFormat="true" ht="16.5" hidden="false" customHeight="true" outlineLevel="0" collapsed="false">
      <c r="A103" s="217" t="s">
        <v>148</v>
      </c>
      <c r="B103" s="218"/>
      <c r="C103" s="219"/>
      <c r="D103" s="220"/>
      <c r="E103" s="219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21"/>
      <c r="W103" s="123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3"/>
      <c r="AN103" s="103"/>
      <c r="AO103" s="103"/>
      <c r="AP103" s="103"/>
      <c r="AQ103" s="103"/>
    </row>
    <row r="104" s="66" customFormat="true" ht="11.25" hidden="false" customHeight="true" outlineLevel="0" collapsed="false">
      <c r="A104" s="105" t="n">
        <v>52</v>
      </c>
      <c r="B104" s="59" t="s">
        <v>149</v>
      </c>
      <c r="C104" s="60" t="n">
        <v>1</v>
      </c>
      <c r="D104" s="145" t="n">
        <v>2.4</v>
      </c>
      <c r="E104" s="60"/>
      <c r="F104" s="60"/>
      <c r="G104" s="62" t="n">
        <f aca="false">ROUND($AF$10*$AF$11*D104*$AF$12,0)</f>
        <v>13171</v>
      </c>
      <c r="H104" s="62" t="n">
        <f aca="false">C104*G104</f>
        <v>13171</v>
      </c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 t="n">
        <f aca="false">H104+I104+K104+L104+M104+N104+O104+P104+Q104+R104+S104</f>
        <v>13171</v>
      </c>
      <c r="V104" s="63" t="n">
        <f aca="false">(U104*$AK$20)</f>
        <v>158052</v>
      </c>
      <c r="W104" s="117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5"/>
      <c r="AN104" s="65"/>
      <c r="AO104" s="65"/>
      <c r="AP104" s="65"/>
      <c r="AQ104" s="65"/>
    </row>
    <row r="105" s="66" customFormat="true" ht="11.25" hidden="false" customHeight="true" outlineLevel="0" collapsed="false">
      <c r="A105" s="111" t="n">
        <v>53</v>
      </c>
      <c r="B105" s="68" t="s">
        <v>150</v>
      </c>
      <c r="C105" s="69" t="n">
        <v>1</v>
      </c>
      <c r="D105" s="14" t="n">
        <v>2</v>
      </c>
      <c r="E105" s="69"/>
      <c r="F105" s="69"/>
      <c r="G105" s="71" t="n">
        <f aca="false">ROUND($AF$10*$AF$11*D105*$AF$12,0)</f>
        <v>10976</v>
      </c>
      <c r="H105" s="71" t="n">
        <f aca="false">C105*G105</f>
        <v>10976</v>
      </c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 t="n">
        <f aca="false">H105+I105+K105+L105+M105+N105+O105+P105+Q105+R105+S105</f>
        <v>10976</v>
      </c>
      <c r="V105" s="72" t="n">
        <f aca="false">(U105*$AK$20)</f>
        <v>131712</v>
      </c>
      <c r="W105" s="117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5"/>
      <c r="AN105" s="65"/>
      <c r="AO105" s="65"/>
      <c r="AP105" s="65"/>
      <c r="AQ105" s="65"/>
    </row>
    <row r="106" s="66" customFormat="true" ht="11.25" hidden="false" customHeight="true" outlineLevel="0" collapsed="false">
      <c r="A106" s="111" t="n">
        <v>54</v>
      </c>
      <c r="B106" s="68" t="s">
        <v>151</v>
      </c>
      <c r="C106" s="69" t="n">
        <v>2</v>
      </c>
      <c r="D106" s="14" t="n">
        <v>2</v>
      </c>
      <c r="E106" s="69"/>
      <c r="F106" s="69"/>
      <c r="G106" s="71" t="n">
        <f aca="false">ROUND($AF$10*$AF$11*D106*$AF$12,0)</f>
        <v>10976</v>
      </c>
      <c r="H106" s="71" t="n">
        <f aca="false">C106*G106</f>
        <v>21952</v>
      </c>
      <c r="I106" s="71"/>
      <c r="J106" s="71"/>
      <c r="K106" s="71"/>
      <c r="L106" s="71"/>
      <c r="M106" s="71"/>
      <c r="N106" s="71"/>
      <c r="O106" s="71"/>
      <c r="P106" s="71"/>
      <c r="Q106" s="71" t="n">
        <f aca="false">ROUND(((G106/$AH$13)*5.5)*C106,2)</f>
        <v>732.84</v>
      </c>
      <c r="R106" s="71"/>
      <c r="S106" s="71"/>
      <c r="T106" s="71"/>
      <c r="U106" s="71" t="n">
        <f aca="false">H106+I106+K106+L106+M106+N106+O106+P106+Q106+R106+S106</f>
        <v>22684.84</v>
      </c>
      <c r="V106" s="72" t="n">
        <f aca="false">(U106*$AK$20)</f>
        <v>272218.08</v>
      </c>
      <c r="W106" s="117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5"/>
      <c r="AN106" s="65"/>
      <c r="AO106" s="65"/>
      <c r="AP106" s="65"/>
      <c r="AQ106" s="65"/>
    </row>
    <row r="107" s="66" customFormat="true" ht="11.25" hidden="false" customHeight="true" outlineLevel="0" collapsed="false">
      <c r="A107" s="147" t="n">
        <v>55</v>
      </c>
      <c r="B107" s="79" t="s">
        <v>152</v>
      </c>
      <c r="C107" s="80" t="n">
        <v>0.5</v>
      </c>
      <c r="D107" s="81" t="n">
        <v>1.5</v>
      </c>
      <c r="E107" s="80"/>
      <c r="F107" s="80"/>
      <c r="G107" s="82" t="n">
        <f aca="false">ROUND($AF$10*$AF$11*D107*$AF$12,0)</f>
        <v>8232</v>
      </c>
      <c r="H107" s="82" t="n">
        <f aca="false">C107*G107</f>
        <v>4116</v>
      </c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 t="n">
        <f aca="false">H107+I107+K107+L107+M107+N107+O107+P107+Q107+R107+S107</f>
        <v>4116</v>
      </c>
      <c r="V107" s="83" t="n">
        <f aca="false">(U107*$AK$20)</f>
        <v>49392</v>
      </c>
      <c r="W107" s="117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5"/>
      <c r="AN107" s="65"/>
      <c r="AO107" s="65"/>
      <c r="AP107" s="65"/>
      <c r="AQ107" s="65"/>
    </row>
    <row r="108" s="104" customFormat="true" ht="16.5" hidden="false" customHeight="true" outlineLevel="0" collapsed="false">
      <c r="A108" s="222" t="s">
        <v>153</v>
      </c>
      <c r="B108" s="222"/>
      <c r="C108" s="214" t="n">
        <f aca="false">SUM(C104:C107)</f>
        <v>4.5</v>
      </c>
      <c r="D108" s="223"/>
      <c r="E108" s="214"/>
      <c r="F108" s="214"/>
      <c r="G108" s="215" t="n">
        <f aca="false">SUM(G104:G107)</f>
        <v>43355</v>
      </c>
      <c r="H108" s="215" t="n">
        <f aca="false">SUM(H104:H107)</f>
        <v>50215</v>
      </c>
      <c r="I108" s="215"/>
      <c r="J108" s="215" t="n">
        <f aca="false">SUM(J104:J107)</f>
        <v>0</v>
      </c>
      <c r="K108" s="215" t="n">
        <f aca="false">SUM(K104:K107)</f>
        <v>0</v>
      </c>
      <c r="L108" s="215" t="n">
        <f aca="false">SUM(L104:L107)</f>
        <v>0</v>
      </c>
      <c r="M108" s="215" t="n">
        <f aca="false">SUM(M104:M107)</f>
        <v>0</v>
      </c>
      <c r="N108" s="215" t="n">
        <f aca="false">SUM(N104:N107)</f>
        <v>0</v>
      </c>
      <c r="O108" s="215" t="n">
        <f aca="false">SUM(O104:O107)</f>
        <v>0</v>
      </c>
      <c r="P108" s="215" t="n">
        <f aca="false">SUM(P104:P107)</f>
        <v>0</v>
      </c>
      <c r="Q108" s="215" t="n">
        <f aca="false">SUM(Q104:Q107)</f>
        <v>732.84</v>
      </c>
      <c r="R108" s="215" t="n">
        <f aca="false">SUM(R104:R107)</f>
        <v>0</v>
      </c>
      <c r="S108" s="215" t="n">
        <f aca="false">SUM(S104:S107)</f>
        <v>0</v>
      </c>
      <c r="T108" s="215" t="n">
        <f aca="false">SUM(T104:T107)</f>
        <v>0</v>
      </c>
      <c r="U108" s="215" t="n">
        <f aca="false">SUM(U104:U107)</f>
        <v>50947.84</v>
      </c>
      <c r="V108" s="216" t="n">
        <f aca="false">SUM(V104:V107)</f>
        <v>611374.08</v>
      </c>
      <c r="W108" s="123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3"/>
      <c r="AN108" s="103"/>
      <c r="AO108" s="103"/>
      <c r="AP108" s="103"/>
      <c r="AQ108" s="103"/>
    </row>
    <row r="109" s="155" customFormat="true" ht="17.25" hidden="false" customHeight="true" outlineLevel="0" collapsed="false">
      <c r="A109" s="156" t="s">
        <v>154</v>
      </c>
      <c r="B109" s="224"/>
      <c r="C109" s="225"/>
      <c r="D109" s="226"/>
      <c r="E109" s="225"/>
      <c r="F109" s="225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8"/>
      <c r="W109" s="117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4"/>
      <c r="AN109" s="154"/>
      <c r="AO109" s="154"/>
      <c r="AP109" s="154"/>
      <c r="AQ109" s="154"/>
    </row>
    <row r="110" s="66" customFormat="true" ht="16.5" hidden="false" customHeight="false" outlineLevel="0" collapsed="false">
      <c r="A110" s="190" t="n">
        <v>56</v>
      </c>
      <c r="B110" s="181" t="s">
        <v>155</v>
      </c>
      <c r="C110" s="182" t="n">
        <v>14</v>
      </c>
      <c r="D110" s="162" t="s">
        <v>119</v>
      </c>
      <c r="E110" s="182" t="n">
        <f aca="false">$Z$19</f>
        <v>1.2</v>
      </c>
      <c r="F110" s="162" t="n">
        <f aca="false">ROUND(($AF$10*$AE$12*$AF$11*E110)/$AF$13,2)</f>
        <v>45.45</v>
      </c>
      <c r="G110" s="163" t="n">
        <f aca="false">ROUND(F110*$AH$13,2)</f>
        <v>7487.89</v>
      </c>
      <c r="H110" s="163" t="n">
        <f aca="false">C110*G110</f>
        <v>104830.46</v>
      </c>
      <c r="I110" s="163" t="n">
        <f aca="false">ROUND(H110*4%,2)</f>
        <v>4193.22</v>
      </c>
      <c r="J110" s="163"/>
      <c r="K110" s="163"/>
      <c r="L110" s="163"/>
      <c r="M110" s="163"/>
      <c r="N110" s="163"/>
      <c r="O110" s="163"/>
      <c r="P110" s="163" t="n">
        <f aca="false">ROUND(((F110*53.23)*35%)*C110,2)</f>
        <v>11854.59</v>
      </c>
      <c r="Q110" s="163" t="n">
        <f aca="false">ROUND((F110*5.5)*C110,2)</f>
        <v>3499.65</v>
      </c>
      <c r="R110" s="163"/>
      <c r="S110" s="163"/>
      <c r="T110" s="163"/>
      <c r="U110" s="163" t="n">
        <f aca="false">H110+I110+K110+L110+M110+N110+O110+P110+Q110+R110+S110</f>
        <v>124377.92</v>
      </c>
      <c r="V110" s="72" t="n">
        <f aca="false">(U110*$AK$20)</f>
        <v>1492535.04</v>
      </c>
      <c r="W110" s="117" t="n">
        <f aca="false">V110/C110</f>
        <v>106609.645714286</v>
      </c>
      <c r="X110" s="146" t="n">
        <f aca="false">W110*8.41%</f>
        <v>8965.87120457143</v>
      </c>
      <c r="Y110" s="64" t="s">
        <v>156</v>
      </c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5"/>
      <c r="AN110" s="65"/>
      <c r="AO110" s="65"/>
      <c r="AP110" s="65"/>
      <c r="AQ110" s="65"/>
    </row>
    <row r="111" s="66" customFormat="true" ht="18.75" hidden="false" customHeight="true" outlineLevel="0" collapsed="false">
      <c r="A111" s="156" t="s">
        <v>157</v>
      </c>
      <c r="B111" s="224"/>
      <c r="C111" s="225"/>
      <c r="D111" s="226"/>
      <c r="E111" s="225"/>
      <c r="F111" s="225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8"/>
      <c r="W111" s="117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5"/>
      <c r="AN111" s="65"/>
      <c r="AO111" s="65"/>
      <c r="AP111" s="65"/>
      <c r="AQ111" s="65"/>
    </row>
    <row r="112" s="66" customFormat="true" ht="15.75" hidden="false" customHeight="false" outlineLevel="0" collapsed="false">
      <c r="A112" s="105" t="n">
        <v>57</v>
      </c>
      <c r="B112" s="106" t="s">
        <v>155</v>
      </c>
      <c r="C112" s="107" t="n">
        <v>6</v>
      </c>
      <c r="D112" s="108" t="s">
        <v>119</v>
      </c>
      <c r="E112" s="107" t="n">
        <f aca="false">$Z$19</f>
        <v>1.2</v>
      </c>
      <c r="F112" s="108" t="n">
        <f aca="false">ROUND(($AF$10*$AE$12*$AF$11*E112)/$AF$13,2)</f>
        <v>45.45</v>
      </c>
      <c r="G112" s="109" t="n">
        <f aca="false">ROUND(F112*$AH$13,2)</f>
        <v>7487.89</v>
      </c>
      <c r="H112" s="109" t="n">
        <f aca="false">C112*G112</f>
        <v>44927.34</v>
      </c>
      <c r="I112" s="109" t="n">
        <f aca="false">ROUND(H112*4%,2)</f>
        <v>1797.09</v>
      </c>
      <c r="J112" s="109"/>
      <c r="K112" s="109"/>
      <c r="L112" s="109"/>
      <c r="M112" s="109"/>
      <c r="N112" s="109"/>
      <c r="O112" s="109"/>
      <c r="P112" s="109" t="n">
        <f aca="false">ROUND(((F112*53.23)*35%)*C112,2)</f>
        <v>5080.54</v>
      </c>
      <c r="Q112" s="109" t="n">
        <f aca="false">ROUND((F112*5.5)*C112,2)</f>
        <v>1499.85</v>
      </c>
      <c r="R112" s="109"/>
      <c r="S112" s="109"/>
      <c r="T112" s="109"/>
      <c r="U112" s="109" t="n">
        <f aca="false">H112+I112+K112+L112+M112+N112+O112+P112+Q112+R112+S112</f>
        <v>53304.82</v>
      </c>
      <c r="V112" s="72" t="n">
        <f aca="false">(U112*$AK$20)</f>
        <v>639657.84</v>
      </c>
      <c r="W112" s="117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5"/>
      <c r="AN112" s="65"/>
      <c r="AO112" s="65"/>
      <c r="AP112" s="65"/>
      <c r="AQ112" s="65"/>
    </row>
    <row r="113" s="66" customFormat="true" ht="18" hidden="false" customHeight="true" outlineLevel="0" collapsed="false">
      <c r="A113" s="147" t="n">
        <v>58</v>
      </c>
      <c r="B113" s="113" t="s">
        <v>155</v>
      </c>
      <c r="C113" s="114" t="n">
        <v>4</v>
      </c>
      <c r="D113" s="115" t="s">
        <v>158</v>
      </c>
      <c r="E113" s="115" t="n">
        <f aca="false">$Y$19</f>
        <v>1.08</v>
      </c>
      <c r="F113" s="115" t="n">
        <f aca="false">ROUND(($AF$10*$AE$12*$AF$11*E113)/$AF$13,2)</f>
        <v>40.91</v>
      </c>
      <c r="G113" s="116" t="n">
        <f aca="false">ROUND(F113*$AH$13,2)</f>
        <v>6739.92</v>
      </c>
      <c r="H113" s="116" t="n">
        <f aca="false">C113*G113</f>
        <v>26959.68</v>
      </c>
      <c r="I113" s="116" t="n">
        <f aca="false">ROUND(H113*4%,2)</f>
        <v>1078.39</v>
      </c>
      <c r="J113" s="116"/>
      <c r="K113" s="116"/>
      <c r="L113" s="116"/>
      <c r="M113" s="116"/>
      <c r="N113" s="116"/>
      <c r="O113" s="116"/>
      <c r="P113" s="116" t="n">
        <f aca="false">ROUND(((F113*53.23)*35%)*C113,2)</f>
        <v>3048.7</v>
      </c>
      <c r="Q113" s="116" t="n">
        <f aca="false">ROUND((F113*5.5)*C113,2)</f>
        <v>900.02</v>
      </c>
      <c r="R113" s="116"/>
      <c r="S113" s="116"/>
      <c r="T113" s="116"/>
      <c r="U113" s="116" t="n">
        <f aca="false">H113+I113+K113+L113+M113+N113+O113+P113+Q113+R113+S113</f>
        <v>31986.79</v>
      </c>
      <c r="V113" s="72" t="n">
        <f aca="false">(U113*$AK$20)</f>
        <v>383841.48</v>
      </c>
      <c r="W113" s="117" t="n">
        <f aca="false">U113/4</f>
        <v>7996.6975</v>
      </c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5"/>
      <c r="AN113" s="65"/>
      <c r="AO113" s="65"/>
      <c r="AP113" s="65"/>
      <c r="AQ113" s="65"/>
    </row>
    <row r="114" s="66" customFormat="true" ht="17.25" hidden="false" customHeight="true" outlineLevel="0" collapsed="false">
      <c r="A114" s="229" t="s">
        <v>159</v>
      </c>
      <c r="B114" s="230"/>
      <c r="C114" s="231"/>
      <c r="D114" s="232"/>
      <c r="E114" s="231"/>
      <c r="F114" s="231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4"/>
      <c r="W114" s="117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5"/>
      <c r="AN114" s="65"/>
      <c r="AO114" s="65"/>
      <c r="AP114" s="65"/>
      <c r="AQ114" s="65"/>
    </row>
    <row r="115" s="66" customFormat="true" ht="17.25" hidden="false" customHeight="true" outlineLevel="0" collapsed="false">
      <c r="A115" s="235" t="n">
        <v>59</v>
      </c>
      <c r="B115" s="181" t="s">
        <v>155</v>
      </c>
      <c r="C115" s="182" t="n">
        <v>1</v>
      </c>
      <c r="D115" s="162" t="s">
        <v>119</v>
      </c>
      <c r="E115" s="182" t="n">
        <f aca="false">$Z$19</f>
        <v>1.2</v>
      </c>
      <c r="F115" s="162" t="n">
        <f aca="false">ROUND(($AF$10*$AE$12*$AF$11*E115)/$AF$13,2)</f>
        <v>45.45</v>
      </c>
      <c r="G115" s="163" t="n">
        <f aca="false">ROUND(F115*$AH$13,2)</f>
        <v>7487.89</v>
      </c>
      <c r="H115" s="163" t="n">
        <f aca="false">C115*G115</f>
        <v>7487.89</v>
      </c>
      <c r="I115" s="163" t="n">
        <f aca="false">ROUND(H115*4%,2)</f>
        <v>299.52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 t="n">
        <f aca="false">H115+I115+K115+L115+M115+N115+O115+P115+Q115+R115+S115</f>
        <v>7787.41</v>
      </c>
      <c r="V115" s="72" t="n">
        <f aca="false">(U115*$AK$20)</f>
        <v>93448.92</v>
      </c>
      <c r="W115" s="117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5"/>
      <c r="AN115" s="65"/>
      <c r="AO115" s="65"/>
      <c r="AP115" s="65"/>
      <c r="AQ115" s="65"/>
    </row>
    <row r="116" s="155" customFormat="true" ht="18.75" hidden="false" customHeight="true" outlineLevel="0" collapsed="false">
      <c r="A116" s="224" t="s">
        <v>160</v>
      </c>
      <c r="B116" s="225"/>
      <c r="C116" s="225"/>
      <c r="D116" s="226"/>
      <c r="E116" s="225"/>
      <c r="F116" s="225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8"/>
      <c r="W116" s="117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4"/>
      <c r="AN116" s="154"/>
      <c r="AO116" s="154"/>
      <c r="AP116" s="154"/>
      <c r="AQ116" s="154"/>
    </row>
    <row r="117" s="66" customFormat="true" ht="14.25" hidden="false" customHeight="true" outlineLevel="0" collapsed="false">
      <c r="A117" s="105" t="n">
        <v>60</v>
      </c>
      <c r="B117" s="59" t="s">
        <v>161</v>
      </c>
      <c r="C117" s="60" t="n">
        <v>5</v>
      </c>
      <c r="D117" s="145" t="s">
        <v>119</v>
      </c>
      <c r="E117" s="60" t="n">
        <f aca="false">$Z$19</f>
        <v>1.2</v>
      </c>
      <c r="F117" s="145" t="n">
        <f aca="false">ROUND(($AF$10*$AE$12*$AF$11*E117)/$AF$13,2)</f>
        <v>45.45</v>
      </c>
      <c r="G117" s="62" t="n">
        <f aca="false">ROUND(F117*$AH$13,2)</f>
        <v>7487.89</v>
      </c>
      <c r="H117" s="62" t="n">
        <f aca="false">C117*G117</f>
        <v>37439.45</v>
      </c>
      <c r="I117" s="62" t="n">
        <f aca="false">ROUND(H117*4%,2)</f>
        <v>1497.58</v>
      </c>
      <c r="J117" s="62"/>
      <c r="K117" s="62"/>
      <c r="L117" s="62"/>
      <c r="M117" s="62"/>
      <c r="N117" s="62"/>
      <c r="O117" s="62"/>
      <c r="P117" s="62" t="n">
        <f aca="false">ROUND(((F117*53.23)*35%)*C117,2)</f>
        <v>4233.78</v>
      </c>
      <c r="Q117" s="62" t="n">
        <f aca="false">ROUND((F117*5.5)*C117,2)</f>
        <v>1249.88</v>
      </c>
      <c r="R117" s="62"/>
      <c r="S117" s="62"/>
      <c r="T117" s="62"/>
      <c r="U117" s="62" t="n">
        <f aca="false">H117+I117+K117+L117+M117+N117+O117+P117+Q117+R117+S117</f>
        <v>44420.69</v>
      </c>
      <c r="V117" s="72" t="n">
        <f aca="false">(U117*$AK$20)</f>
        <v>533048.28</v>
      </c>
      <c r="W117" s="117" t="n">
        <f aca="false">V117/C117</f>
        <v>106609.656</v>
      </c>
      <c r="X117" s="146" t="n">
        <f aca="false">W117*8.41%</f>
        <v>8965.8720696</v>
      </c>
      <c r="Y117" s="64" t="s">
        <v>162</v>
      </c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5"/>
      <c r="AN117" s="65"/>
      <c r="AO117" s="65"/>
      <c r="AP117" s="65"/>
      <c r="AQ117" s="65"/>
    </row>
    <row r="118" s="66" customFormat="true" ht="14.25" hidden="false" customHeight="true" outlineLevel="0" collapsed="false">
      <c r="A118" s="111" t="n">
        <v>61</v>
      </c>
      <c r="B118" s="68" t="s">
        <v>163</v>
      </c>
      <c r="C118" s="69" t="n">
        <v>5</v>
      </c>
      <c r="D118" s="14" t="s">
        <v>119</v>
      </c>
      <c r="E118" s="69" t="n">
        <f aca="false">$Z$19</f>
        <v>1.2</v>
      </c>
      <c r="F118" s="14" t="n">
        <f aca="false">ROUND(($AF$10*$AE$12*$AF$11*E118)/$AF$13,2)</f>
        <v>45.45</v>
      </c>
      <c r="G118" s="71" t="n">
        <f aca="false">ROUND(F118*$AH$13,2)</f>
        <v>7487.89</v>
      </c>
      <c r="H118" s="71" t="n">
        <f aca="false">C118*G118</f>
        <v>37439.45</v>
      </c>
      <c r="I118" s="71"/>
      <c r="J118" s="71"/>
      <c r="K118" s="71"/>
      <c r="L118" s="71"/>
      <c r="M118" s="71"/>
      <c r="N118" s="71"/>
      <c r="O118" s="71"/>
      <c r="P118" s="71" t="n">
        <f aca="false">ROUND(((F118*53.23)*35%)*C118,2)</f>
        <v>4233.78</v>
      </c>
      <c r="Q118" s="71" t="n">
        <f aca="false">ROUND((F118*5.5)*C118,2)</f>
        <v>1249.88</v>
      </c>
      <c r="R118" s="71"/>
      <c r="S118" s="71"/>
      <c r="T118" s="71"/>
      <c r="U118" s="71" t="n">
        <f aca="false">H118+I118+K118+L118+M118+N118+O118+P118+Q118+R118+S118</f>
        <v>42923.11</v>
      </c>
      <c r="V118" s="72" t="n">
        <f aca="false">(U118*$AK$20)</f>
        <v>515077.32</v>
      </c>
      <c r="W118" s="117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5"/>
      <c r="AN118" s="65"/>
      <c r="AO118" s="65"/>
      <c r="AP118" s="65"/>
      <c r="AQ118" s="65"/>
    </row>
    <row r="119" s="66" customFormat="true" ht="14.25" hidden="false" customHeight="true" outlineLevel="0" collapsed="false">
      <c r="A119" s="111" t="n">
        <v>62</v>
      </c>
      <c r="B119" s="68" t="s">
        <v>164</v>
      </c>
      <c r="C119" s="69" t="n">
        <v>1</v>
      </c>
      <c r="D119" s="14" t="s">
        <v>93</v>
      </c>
      <c r="E119" s="69" t="n">
        <f aca="false">$AA$19</f>
        <v>1.35</v>
      </c>
      <c r="F119" s="14" t="n">
        <f aca="false">ROUND(($AF$10*$AE$12*$AF$11*E119)/$AF$13,2)</f>
        <v>51.14</v>
      </c>
      <c r="G119" s="71" t="n">
        <f aca="false">ROUND(F119*$AH$13,2)</f>
        <v>8425.32</v>
      </c>
      <c r="H119" s="71" t="n">
        <f aca="false">C119*G119</f>
        <v>8425.32</v>
      </c>
      <c r="I119" s="71" t="n">
        <f aca="false">ROUND(H119*4%,2)</f>
        <v>337.01</v>
      </c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 t="n">
        <f aca="false">H119+I119+K119+L119+M119+N119+O119+P119+Q119+R119+S119</f>
        <v>8762.33</v>
      </c>
      <c r="V119" s="72" t="n">
        <f aca="false">(U119*$AK$20)</f>
        <v>105147.96</v>
      </c>
      <c r="W119" s="117" t="n">
        <f aca="false">V119</f>
        <v>105147.96</v>
      </c>
      <c r="X119" s="146" t="n">
        <f aca="false">W119*8.41%</f>
        <v>8842.943436</v>
      </c>
      <c r="Y119" s="64" t="s">
        <v>165</v>
      </c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5"/>
      <c r="AN119" s="65"/>
      <c r="AO119" s="65"/>
      <c r="AP119" s="65"/>
      <c r="AQ119" s="65"/>
    </row>
    <row r="120" s="66" customFormat="true" ht="25.5" hidden="false" customHeight="false" outlineLevel="0" collapsed="false">
      <c r="A120" s="111" t="n">
        <v>63</v>
      </c>
      <c r="B120" s="68" t="s">
        <v>166</v>
      </c>
      <c r="C120" s="69" t="n">
        <v>4</v>
      </c>
      <c r="D120" s="14" t="s">
        <v>131</v>
      </c>
      <c r="E120" s="69" t="n">
        <f aca="false">$AB$19</f>
        <v>1.54</v>
      </c>
      <c r="F120" s="14" t="n">
        <f aca="false">ROUND(($AF$10*$AE$12*$AF$11*E120)/$AF$13,2)</f>
        <v>58.33</v>
      </c>
      <c r="G120" s="71" t="n">
        <f aca="false">ROUND(F120*$AH$13,2)</f>
        <v>9609.87</v>
      </c>
      <c r="H120" s="71" t="n">
        <f aca="false">C120*G120</f>
        <v>38439.48</v>
      </c>
      <c r="I120" s="71" t="n">
        <f aca="false">ROUND(H120*4%,2)</f>
        <v>1537.58</v>
      </c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 t="n">
        <f aca="false">H120+I120+K120+L120+M120+N120+O120+P120+Q120+R120+S120</f>
        <v>39977.06</v>
      </c>
      <c r="V120" s="72" t="n">
        <f aca="false">(U120*$AK$20)</f>
        <v>479724.72</v>
      </c>
      <c r="W120" s="117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5"/>
      <c r="AN120" s="65"/>
      <c r="AO120" s="65"/>
      <c r="AP120" s="65"/>
      <c r="AQ120" s="65"/>
    </row>
    <row r="121" s="66" customFormat="true" ht="16.5" hidden="false" customHeight="false" outlineLevel="0" collapsed="false">
      <c r="A121" s="112" t="n">
        <v>64</v>
      </c>
      <c r="B121" s="113" t="s">
        <v>167</v>
      </c>
      <c r="C121" s="114" t="n">
        <v>1</v>
      </c>
      <c r="D121" s="115" t="s">
        <v>131</v>
      </c>
      <c r="E121" s="114" t="n">
        <f aca="false">$AB$19</f>
        <v>1.54</v>
      </c>
      <c r="F121" s="115" t="n">
        <f aca="false">ROUND(($AF$10*$AE$12*$AF$11*E121)/$AF$13,2)</f>
        <v>58.33</v>
      </c>
      <c r="G121" s="116" t="n">
        <f aca="false">ROUND(F121*$AH$13,2)</f>
        <v>9609.87</v>
      </c>
      <c r="H121" s="116" t="n">
        <f aca="false">C121*G121</f>
        <v>9609.87</v>
      </c>
      <c r="I121" s="116" t="n">
        <f aca="false">ROUND(H121*12%,2)</f>
        <v>1153.18</v>
      </c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 t="n">
        <f aca="false">H121+I121+K121+L121+M121+N121+O121+P121+Q121+R121+S121</f>
        <v>10763.05</v>
      </c>
      <c r="V121" s="72" t="n">
        <f aca="false">(U121*$AK$20)</f>
        <v>129156.6</v>
      </c>
      <c r="W121" s="117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5"/>
      <c r="AN121" s="65"/>
      <c r="AO121" s="65"/>
      <c r="AP121" s="65"/>
      <c r="AQ121" s="65"/>
    </row>
    <row r="122" s="155" customFormat="true" ht="16.5" hidden="false" customHeight="true" outlineLevel="0" collapsed="false">
      <c r="A122" s="224" t="s">
        <v>168</v>
      </c>
      <c r="B122" s="225"/>
      <c r="C122" s="225"/>
      <c r="D122" s="226"/>
      <c r="E122" s="225"/>
      <c r="F122" s="225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8"/>
      <c r="W122" s="117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4"/>
      <c r="AN122" s="154"/>
      <c r="AO122" s="154"/>
      <c r="AP122" s="154"/>
      <c r="AQ122" s="154"/>
    </row>
    <row r="123" s="66" customFormat="true" ht="12.75" hidden="false" customHeight="true" outlineLevel="0" collapsed="false">
      <c r="A123" s="105" t="n">
        <v>65</v>
      </c>
      <c r="B123" s="59" t="s">
        <v>169</v>
      </c>
      <c r="C123" s="60" t="n">
        <v>1</v>
      </c>
      <c r="D123" s="145" t="n">
        <v>1.3</v>
      </c>
      <c r="E123" s="60"/>
      <c r="F123" s="60"/>
      <c r="G123" s="62" t="n">
        <f aca="false">ROUND($AF$10*$AF$11*D123*$AF$12,0)</f>
        <v>7134</v>
      </c>
      <c r="H123" s="62" t="n">
        <f aca="false">C123*G123</f>
        <v>7134</v>
      </c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 t="n">
        <f aca="false">H123+I123+K123+L123+M123+N123+O123+P123+Q123+R123+S123</f>
        <v>7134</v>
      </c>
      <c r="V123" s="72" t="n">
        <f aca="false">(U123*$AK$20)</f>
        <v>85608</v>
      </c>
      <c r="W123" s="117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5"/>
      <c r="AN123" s="65"/>
      <c r="AO123" s="65"/>
      <c r="AP123" s="65"/>
      <c r="AQ123" s="65"/>
    </row>
    <row r="124" s="66" customFormat="true" ht="26.25" hidden="false" customHeight="false" outlineLevel="0" collapsed="false">
      <c r="A124" s="147" t="n">
        <v>66</v>
      </c>
      <c r="B124" s="79" t="s">
        <v>170</v>
      </c>
      <c r="C124" s="80" t="n">
        <v>1</v>
      </c>
      <c r="D124" s="81" t="n">
        <v>1.3</v>
      </c>
      <c r="E124" s="80"/>
      <c r="F124" s="80"/>
      <c r="G124" s="82" t="n">
        <f aca="false">ROUND($AF$10*$AF$11*D124*$AF$12,0)</f>
        <v>7134</v>
      </c>
      <c r="H124" s="82" t="n">
        <f aca="false">C124*G124</f>
        <v>7134</v>
      </c>
      <c r="I124" s="82" t="n">
        <f aca="false">ROUND(H124*4%,2)</f>
        <v>285.36</v>
      </c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 t="n">
        <f aca="false">H124+I124+K124+L124+M124+N124+O124+P124+Q124+R124+S124</f>
        <v>7419.36</v>
      </c>
      <c r="V124" s="72" t="n">
        <f aca="false">(U124*$AK$20)</f>
        <v>89032.32</v>
      </c>
      <c r="W124" s="117" t="n">
        <f aca="false">V124</f>
        <v>89032.32</v>
      </c>
      <c r="X124" s="146" t="n">
        <f aca="false">W124*8.41%</f>
        <v>7487.618112</v>
      </c>
      <c r="Y124" s="64" t="s">
        <v>171</v>
      </c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5"/>
      <c r="AN124" s="65"/>
      <c r="AO124" s="65"/>
      <c r="AP124" s="65"/>
      <c r="AQ124" s="65"/>
    </row>
    <row r="125" s="104" customFormat="true" ht="16.5" hidden="false" customHeight="true" outlineLevel="0" collapsed="false">
      <c r="A125" s="118" t="s">
        <v>125</v>
      </c>
      <c r="B125" s="118"/>
      <c r="C125" s="119" t="n">
        <f aca="false">SUM(C110:C124)</f>
        <v>43</v>
      </c>
      <c r="D125" s="120"/>
      <c r="E125" s="119"/>
      <c r="F125" s="119"/>
      <c r="G125" s="121" t="n">
        <f aca="false">SUM(G110:G124)</f>
        <v>86092.43</v>
      </c>
      <c r="H125" s="121" t="n">
        <f aca="false">SUM(H110:H124)</f>
        <v>329826.94</v>
      </c>
      <c r="I125" s="121" t="n">
        <f aca="false">SUM(I110:I124)</f>
        <v>12178.93</v>
      </c>
      <c r="J125" s="121"/>
      <c r="K125" s="121" t="n">
        <f aca="false">SUM(K110:K124)</f>
        <v>0</v>
      </c>
      <c r="L125" s="121" t="n">
        <f aca="false">SUM(L110:L124)</f>
        <v>0</v>
      </c>
      <c r="M125" s="121" t="n">
        <f aca="false">SUM(M110:M124)</f>
        <v>0</v>
      </c>
      <c r="N125" s="121" t="n">
        <f aca="false">SUM(N110:N124)</f>
        <v>0</v>
      </c>
      <c r="O125" s="121" t="n">
        <f aca="false">SUM(O110:O124)</f>
        <v>0</v>
      </c>
      <c r="P125" s="121" t="n">
        <f aca="false">SUM(P110:P124)</f>
        <v>28451.39</v>
      </c>
      <c r="Q125" s="121" t="n">
        <f aca="false">SUM(Q110:Q124)</f>
        <v>8399.28</v>
      </c>
      <c r="R125" s="121" t="n">
        <f aca="false">SUM(R110:R124)</f>
        <v>0</v>
      </c>
      <c r="S125" s="121" t="n">
        <f aca="false">SUM(S110:S124)</f>
        <v>0</v>
      </c>
      <c r="T125" s="121" t="n">
        <f aca="false">SUM(T110:T124)</f>
        <v>0</v>
      </c>
      <c r="U125" s="121" t="n">
        <f aca="false">SUM(U110:U124)</f>
        <v>378856.54</v>
      </c>
      <c r="V125" s="122" t="n">
        <f aca="false">SUM(V110:V124)</f>
        <v>4546278.48</v>
      </c>
      <c r="W125" s="123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3"/>
      <c r="AN125" s="103"/>
      <c r="AO125" s="103"/>
      <c r="AP125" s="103"/>
      <c r="AQ125" s="103"/>
    </row>
    <row r="126" s="104" customFormat="true" ht="18" hidden="false" customHeight="true" outlineLevel="0" collapsed="false">
      <c r="A126" s="236" t="s">
        <v>172</v>
      </c>
      <c r="B126" s="236"/>
      <c r="C126" s="237" t="n">
        <f aca="false">C108+C125</f>
        <v>47.5</v>
      </c>
      <c r="D126" s="238"/>
      <c r="E126" s="237"/>
      <c r="F126" s="237"/>
      <c r="G126" s="239" t="n">
        <f aca="false">G108+G125</f>
        <v>129447.43</v>
      </c>
      <c r="H126" s="239" t="n">
        <f aca="false">H108+H125</f>
        <v>380041.94</v>
      </c>
      <c r="I126" s="239" t="n">
        <f aca="false">I108+I125</f>
        <v>12178.93</v>
      </c>
      <c r="J126" s="239"/>
      <c r="K126" s="239" t="n">
        <f aca="false">K108+K125</f>
        <v>0</v>
      </c>
      <c r="L126" s="239" t="n">
        <f aca="false">L108+L125</f>
        <v>0</v>
      </c>
      <c r="M126" s="239" t="n">
        <f aca="false">M108+M125</f>
        <v>0</v>
      </c>
      <c r="N126" s="239" t="n">
        <f aca="false">N108+N125</f>
        <v>0</v>
      </c>
      <c r="O126" s="239" t="n">
        <f aca="false">O108+O125</f>
        <v>0</v>
      </c>
      <c r="P126" s="239" t="n">
        <f aca="false">P108+P125</f>
        <v>28451.39</v>
      </c>
      <c r="Q126" s="239" t="n">
        <f aca="false">Q108+Q125</f>
        <v>9132.12</v>
      </c>
      <c r="R126" s="239" t="n">
        <f aca="false">R108+R125</f>
        <v>0</v>
      </c>
      <c r="S126" s="239" t="n">
        <f aca="false">S108+S125</f>
        <v>0</v>
      </c>
      <c r="T126" s="239" t="n">
        <f aca="false">T108+T125</f>
        <v>0</v>
      </c>
      <c r="U126" s="239" t="n">
        <f aca="false">U108+U125</f>
        <v>429804.38</v>
      </c>
      <c r="V126" s="240" t="n">
        <f aca="false">V108+V125</f>
        <v>5157652.56</v>
      </c>
      <c r="W126" s="123" t="n">
        <f aca="false">(V126-W110-W117-W119-W124)*22%</f>
        <v>1045055.65522286</v>
      </c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3"/>
      <c r="AN126" s="103"/>
      <c r="AO126" s="103"/>
      <c r="AP126" s="103"/>
      <c r="AQ126" s="103"/>
    </row>
    <row r="127" s="155" customFormat="true" ht="21" hidden="false" customHeight="true" outlineLevel="0" collapsed="false">
      <c r="A127" s="241" t="s">
        <v>173</v>
      </c>
      <c r="B127" s="242"/>
      <c r="C127" s="242"/>
      <c r="D127" s="243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4"/>
      <c r="W127" s="117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4"/>
      <c r="AN127" s="154"/>
      <c r="AO127" s="154"/>
      <c r="AP127" s="154"/>
      <c r="AQ127" s="154"/>
    </row>
    <row r="128" s="66" customFormat="true" ht="18.75" hidden="false" customHeight="true" outlineLevel="0" collapsed="false">
      <c r="A128" s="105" t="n">
        <v>67</v>
      </c>
      <c r="B128" s="59" t="s">
        <v>149</v>
      </c>
      <c r="C128" s="60" t="n">
        <v>1</v>
      </c>
      <c r="D128" s="145" t="n">
        <v>2.4</v>
      </c>
      <c r="E128" s="60"/>
      <c r="F128" s="245"/>
      <c r="G128" s="62" t="n">
        <f aca="false">ROUND($AF$10*$AF$11*D128*$AF$12,0)</f>
        <v>13171</v>
      </c>
      <c r="H128" s="62" t="n">
        <f aca="false">C128*G128</f>
        <v>13171</v>
      </c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 t="n">
        <f aca="false">H128+I128+K128+L128+M128+N128+O128+P128+Q128+R128+S128</f>
        <v>13171</v>
      </c>
      <c r="V128" s="63" t="n">
        <f aca="false">(U128*$AK$20)</f>
        <v>158052</v>
      </c>
      <c r="W128" s="117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5"/>
      <c r="AN128" s="65"/>
      <c r="AO128" s="65"/>
      <c r="AP128" s="65"/>
      <c r="AQ128" s="65"/>
    </row>
    <row r="129" s="66" customFormat="true" ht="18.75" hidden="false" customHeight="true" outlineLevel="0" collapsed="false">
      <c r="A129" s="147" t="n">
        <v>68</v>
      </c>
      <c r="B129" s="79" t="s">
        <v>151</v>
      </c>
      <c r="C129" s="80" t="n">
        <v>2</v>
      </c>
      <c r="D129" s="81" t="n">
        <v>2</v>
      </c>
      <c r="E129" s="80"/>
      <c r="F129" s="246"/>
      <c r="G129" s="82" t="n">
        <f aca="false">ROUND($AF$10*$AF$11*D129*$AF$12,0)</f>
        <v>10976</v>
      </c>
      <c r="H129" s="82" t="n">
        <f aca="false">C129*G129</f>
        <v>21952</v>
      </c>
      <c r="I129" s="82"/>
      <c r="J129" s="82"/>
      <c r="K129" s="82"/>
      <c r="L129" s="82"/>
      <c r="M129" s="82"/>
      <c r="N129" s="82"/>
      <c r="O129" s="82"/>
      <c r="P129" s="82"/>
      <c r="Q129" s="82" t="n">
        <f aca="false">ROUND(((G129/$AH$13)*5.5)*C129,2)</f>
        <v>732.84</v>
      </c>
      <c r="R129" s="82"/>
      <c r="S129" s="82"/>
      <c r="T129" s="82"/>
      <c r="U129" s="82" t="n">
        <f aca="false">H129+I129+K129+L129+M129+N129+O129+P129+Q129+R129+S129</f>
        <v>22684.84</v>
      </c>
      <c r="V129" s="83" t="n">
        <f aca="false">(U129*$AK$20)</f>
        <v>272218.08</v>
      </c>
      <c r="W129" s="117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5"/>
      <c r="AN129" s="65"/>
      <c r="AO129" s="65"/>
      <c r="AP129" s="65"/>
      <c r="AQ129" s="65"/>
    </row>
    <row r="130" s="66" customFormat="true" ht="18.75" hidden="false" customHeight="true" outlineLevel="0" collapsed="false">
      <c r="A130" s="247" t="s">
        <v>174</v>
      </c>
      <c r="B130" s="224"/>
      <c r="C130" s="225"/>
      <c r="D130" s="226"/>
      <c r="E130" s="225"/>
      <c r="F130" s="225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8"/>
      <c r="W130" s="117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5"/>
      <c r="AN130" s="65"/>
      <c r="AO130" s="65"/>
      <c r="AP130" s="65"/>
      <c r="AQ130" s="65"/>
    </row>
    <row r="131" s="66" customFormat="true" ht="39" hidden="false" customHeight="false" outlineLevel="0" collapsed="false">
      <c r="A131" s="248" t="n">
        <v>69</v>
      </c>
      <c r="B131" s="249" t="s">
        <v>175</v>
      </c>
      <c r="C131" s="250" t="n">
        <v>4</v>
      </c>
      <c r="D131" s="162" t="s">
        <v>119</v>
      </c>
      <c r="E131" s="182" t="n">
        <f aca="false">$Z$19</f>
        <v>1.2</v>
      </c>
      <c r="F131" s="251" t="n">
        <f aca="false">ROUND(($AF$10*$AE$12*$AF$11*E131)/$AF$13,2)</f>
        <v>45.45</v>
      </c>
      <c r="G131" s="163" t="n">
        <f aca="false">ROUND(F131*$AH$13,2)</f>
        <v>7487.89</v>
      </c>
      <c r="H131" s="163" t="n">
        <f aca="false">C131*G131</f>
        <v>29951.56</v>
      </c>
      <c r="I131" s="163"/>
      <c r="J131" s="163"/>
      <c r="K131" s="163"/>
      <c r="L131" s="163"/>
      <c r="M131" s="163"/>
      <c r="N131" s="163"/>
      <c r="O131" s="163"/>
      <c r="P131" s="163" t="n">
        <f aca="false">ROUND(((F131*53.23)*35%)*C131,2)</f>
        <v>3387.02</v>
      </c>
      <c r="Q131" s="163" t="n">
        <f aca="false">ROUND((F131*5.5)*C131,2)</f>
        <v>999.9</v>
      </c>
      <c r="R131" s="163"/>
      <c r="S131" s="163"/>
      <c r="T131" s="163"/>
      <c r="U131" s="163" t="n">
        <f aca="false">H131+I131+K131+L131+M131+N131+O131+P131+Q131+R131+S131</f>
        <v>34338.48</v>
      </c>
      <c r="V131" s="72" t="n">
        <f aca="false">(U131*$AK$20)</f>
        <v>412061.76</v>
      </c>
      <c r="W131" s="117"/>
      <c r="X131" s="64"/>
      <c r="Y131" s="64"/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5"/>
      <c r="AN131" s="65"/>
      <c r="AO131" s="65"/>
      <c r="AP131" s="65"/>
      <c r="AQ131" s="65"/>
    </row>
    <row r="132" s="155" customFormat="true" ht="15.75" hidden="false" customHeight="true" outlineLevel="0" collapsed="false">
      <c r="A132" s="224" t="s">
        <v>176</v>
      </c>
      <c r="B132" s="225"/>
      <c r="C132" s="225"/>
      <c r="D132" s="226"/>
      <c r="E132" s="225"/>
      <c r="F132" s="225"/>
      <c r="G132" s="252"/>
      <c r="H132" s="252"/>
      <c r="I132" s="252"/>
      <c r="J132" s="252"/>
      <c r="K132" s="252"/>
      <c r="L132" s="252"/>
      <c r="M132" s="252"/>
      <c r="N132" s="252"/>
      <c r="O132" s="252"/>
      <c r="P132" s="252"/>
      <c r="Q132" s="252"/>
      <c r="R132" s="252"/>
      <c r="S132" s="252"/>
      <c r="T132" s="252"/>
      <c r="U132" s="252"/>
      <c r="V132" s="253"/>
      <c r="W132" s="117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4"/>
      <c r="AN132" s="154"/>
      <c r="AO132" s="154"/>
      <c r="AP132" s="154"/>
      <c r="AQ132" s="154"/>
    </row>
    <row r="133" s="66" customFormat="true" ht="25.5" hidden="false" customHeight="false" outlineLevel="0" collapsed="false">
      <c r="A133" s="254" t="n">
        <v>70</v>
      </c>
      <c r="B133" s="255" t="s">
        <v>166</v>
      </c>
      <c r="C133" s="58" t="n">
        <v>1</v>
      </c>
      <c r="D133" s="145" t="s">
        <v>93</v>
      </c>
      <c r="E133" s="60" t="n">
        <f aca="false">$AA$19</f>
        <v>1.35</v>
      </c>
      <c r="F133" s="256" t="n">
        <f aca="false">ROUND(($AF$10*$AE$12*$AF$11*E133)/$AF$13,2)</f>
        <v>51.14</v>
      </c>
      <c r="G133" s="62" t="n">
        <f aca="false">ROUND(F133*$AH$13,2)</f>
        <v>8425.32</v>
      </c>
      <c r="H133" s="62" t="n">
        <f aca="false">C133*G133</f>
        <v>8425.32</v>
      </c>
      <c r="I133" s="62" t="n">
        <f aca="false">ROUND(H133*8%,2)</f>
        <v>674.03</v>
      </c>
      <c r="J133" s="62"/>
      <c r="K133" s="62"/>
      <c r="L133" s="62"/>
      <c r="M133" s="62"/>
      <c r="N133" s="62"/>
      <c r="O133" s="62"/>
      <c r="P133" s="62" t="n">
        <f aca="false">ROUND(((F133*53.23)*35%)*C133,2)</f>
        <v>952.76</v>
      </c>
      <c r="Q133" s="62" t="n">
        <f aca="false">ROUND((F133*5.5)*C133,2)</f>
        <v>281.27</v>
      </c>
      <c r="R133" s="62"/>
      <c r="S133" s="62"/>
      <c r="T133" s="62"/>
      <c r="U133" s="62" t="n">
        <f aca="false">H133+I133+K133+L133+M133+N133+O133+P133+Q133+R133+S133</f>
        <v>10333.38</v>
      </c>
      <c r="V133" s="72" t="n">
        <f aca="false">(U133*$AK$20)</f>
        <v>124000.56</v>
      </c>
      <c r="W133" s="117" t="n">
        <f aca="false">V133</f>
        <v>124000.56</v>
      </c>
      <c r="X133" s="64"/>
      <c r="Y133" s="64"/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5"/>
      <c r="AN133" s="65"/>
      <c r="AO133" s="65"/>
      <c r="AP133" s="65"/>
      <c r="AQ133" s="65"/>
    </row>
    <row r="134" s="66" customFormat="true" ht="25.5" hidden="false" customHeight="false" outlineLevel="0" collapsed="false">
      <c r="A134" s="257" t="n">
        <v>71</v>
      </c>
      <c r="B134" s="258" t="s">
        <v>166</v>
      </c>
      <c r="C134" s="67" t="n">
        <v>3</v>
      </c>
      <c r="D134" s="14" t="s">
        <v>131</v>
      </c>
      <c r="E134" s="69" t="n">
        <f aca="false">$AB$19</f>
        <v>1.54</v>
      </c>
      <c r="F134" s="259" t="n">
        <f aca="false">ROUND(($AF$10*$AE$12*$AF$11*E134)/$AF$13,2)</f>
        <v>58.33</v>
      </c>
      <c r="G134" s="71" t="n">
        <f aca="false">ROUND(F134*$AH$13,2)</f>
        <v>9609.87</v>
      </c>
      <c r="H134" s="71" t="n">
        <f aca="false">C134*G134</f>
        <v>28829.61</v>
      </c>
      <c r="I134" s="71" t="n">
        <f aca="false">ROUND(H134*8%,2)</f>
        <v>2306.37</v>
      </c>
      <c r="J134" s="71"/>
      <c r="K134" s="71"/>
      <c r="L134" s="71"/>
      <c r="M134" s="71"/>
      <c r="N134" s="71"/>
      <c r="O134" s="71"/>
      <c r="P134" s="71"/>
      <c r="Q134" s="71" t="n">
        <f aca="false">ROUND((F134*5.5)*C134,2)</f>
        <v>962.45</v>
      </c>
      <c r="R134" s="71"/>
      <c r="S134" s="71"/>
      <c r="T134" s="71"/>
      <c r="U134" s="71" t="n">
        <f aca="false">H134+I134+K134+L134+M134+N134+O134+P134+Q134+R134+S134</f>
        <v>32098.43</v>
      </c>
      <c r="V134" s="72" t="n">
        <f aca="false">(U134*$AK$20)</f>
        <v>385181.16</v>
      </c>
      <c r="W134" s="117"/>
      <c r="X134" s="146" t="n">
        <f aca="false">W133*8.41%</f>
        <v>10428.447096</v>
      </c>
      <c r="Y134" s="64" t="s">
        <v>177</v>
      </c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5"/>
      <c r="AN134" s="65"/>
      <c r="AO134" s="65"/>
      <c r="AP134" s="65"/>
      <c r="AQ134" s="65"/>
    </row>
    <row r="135" s="66" customFormat="true" ht="16.5" hidden="false" customHeight="false" outlineLevel="0" collapsed="false">
      <c r="A135" s="260" t="n">
        <v>72</v>
      </c>
      <c r="B135" s="261" t="s">
        <v>167</v>
      </c>
      <c r="C135" s="262" t="n">
        <v>1</v>
      </c>
      <c r="D135" s="115" t="s">
        <v>131</v>
      </c>
      <c r="E135" s="114" t="n">
        <f aca="false">$AB$19</f>
        <v>1.54</v>
      </c>
      <c r="F135" s="263" t="n">
        <f aca="false">ROUND(($AF$10*$AE$12*$AF$11*E135)/$AF$13,2)</f>
        <v>58.33</v>
      </c>
      <c r="G135" s="116" t="n">
        <f aca="false">ROUND(F135*$AH$13,2)</f>
        <v>9609.87</v>
      </c>
      <c r="H135" s="116" t="n">
        <f aca="false">C135*G135</f>
        <v>9609.87</v>
      </c>
      <c r="I135" s="116" t="n">
        <f aca="false">ROUND(H135*12%,2)</f>
        <v>1153.18</v>
      </c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 t="n">
        <f aca="false">H135+I135+K135+L135+M135+N135+O135+P135+Q135+R135+S135</f>
        <v>10763.05</v>
      </c>
      <c r="V135" s="72" t="n">
        <f aca="false">(U135*$AK$20)</f>
        <v>129156.6</v>
      </c>
      <c r="W135" s="117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5"/>
      <c r="AN135" s="65"/>
      <c r="AO135" s="65"/>
      <c r="AP135" s="65"/>
      <c r="AQ135" s="65"/>
    </row>
    <row r="136" s="155" customFormat="true" ht="15.75" hidden="false" customHeight="true" outlineLevel="0" collapsed="false">
      <c r="A136" s="247" t="s">
        <v>178</v>
      </c>
      <c r="B136" s="224"/>
      <c r="C136" s="225"/>
      <c r="D136" s="226"/>
      <c r="E136" s="225"/>
      <c r="F136" s="225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8"/>
      <c r="W136" s="117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4"/>
      <c r="AN136" s="154"/>
      <c r="AO136" s="154"/>
      <c r="AP136" s="154"/>
      <c r="AQ136" s="154"/>
    </row>
    <row r="137" s="66" customFormat="true" ht="15.75" hidden="false" customHeight="false" outlineLevel="0" collapsed="false">
      <c r="A137" s="254" t="n">
        <v>73</v>
      </c>
      <c r="B137" s="255" t="s">
        <v>179</v>
      </c>
      <c r="C137" s="58" t="n">
        <v>6</v>
      </c>
      <c r="D137" s="145" t="s">
        <v>158</v>
      </c>
      <c r="E137" s="145" t="n">
        <f aca="false">$Y$19</f>
        <v>1.08</v>
      </c>
      <c r="F137" s="256" t="n">
        <f aca="false">ROUND(($AF$10*$AE$12*$AF$11*E137)/$AF$13,2)</f>
        <v>40.91</v>
      </c>
      <c r="G137" s="62" t="n">
        <f aca="false">ROUND(F137*$AH$13,2)</f>
        <v>6739.92</v>
      </c>
      <c r="H137" s="62" t="n">
        <f aca="false">C137*G137</f>
        <v>40439.52</v>
      </c>
      <c r="I137" s="62" t="n">
        <f aca="false">ROUND(H137*8%,2)</f>
        <v>3235.16</v>
      </c>
      <c r="J137" s="62"/>
      <c r="K137" s="62"/>
      <c r="L137" s="62"/>
      <c r="M137" s="62"/>
      <c r="N137" s="62"/>
      <c r="O137" s="62"/>
      <c r="P137" s="62" t="n">
        <f aca="false">ROUND(((F137*53.23)*35%)*C137,2)</f>
        <v>4573.04</v>
      </c>
      <c r="Q137" s="62" t="n">
        <f aca="false">ROUND((F137*5.5)*C137,2)</f>
        <v>1350.03</v>
      </c>
      <c r="R137" s="62"/>
      <c r="S137" s="62"/>
      <c r="T137" s="62"/>
      <c r="U137" s="62" t="n">
        <f aca="false">H137+I137+K137+L137+M137+N137+O137+P137+Q137+R137+S137</f>
        <v>49597.75</v>
      </c>
      <c r="V137" s="72" t="n">
        <f aca="false">(U137*$AK$20)</f>
        <v>595173</v>
      </c>
      <c r="W137" s="117"/>
      <c r="X137" s="64"/>
      <c r="Y137" s="64"/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5"/>
      <c r="AN137" s="65"/>
      <c r="AO137" s="65"/>
      <c r="AP137" s="65"/>
      <c r="AQ137" s="65"/>
    </row>
    <row r="138" s="66" customFormat="true" ht="29.25" hidden="false" customHeight="true" outlineLevel="0" collapsed="false">
      <c r="A138" s="257" t="n">
        <v>74</v>
      </c>
      <c r="B138" s="258" t="s">
        <v>180</v>
      </c>
      <c r="C138" s="67" t="n">
        <v>4</v>
      </c>
      <c r="D138" s="14" t="s">
        <v>158</v>
      </c>
      <c r="E138" s="14" t="n">
        <f aca="false">$Y$19</f>
        <v>1.08</v>
      </c>
      <c r="F138" s="259" t="n">
        <f aca="false">ROUND(($AF$10*$AE$12*$AF$11*E138)/$AF$13,2)</f>
        <v>40.91</v>
      </c>
      <c r="G138" s="71" t="n">
        <f aca="false">ROUND(F138*$AH$13,2)</f>
        <v>6739.92</v>
      </c>
      <c r="H138" s="71" t="n">
        <f aca="false">C138*G138</f>
        <v>26959.68</v>
      </c>
      <c r="I138" s="71" t="n">
        <f aca="false">ROUND(H138*8%,2)</f>
        <v>2156.77</v>
      </c>
      <c r="J138" s="71"/>
      <c r="K138" s="71"/>
      <c r="L138" s="71"/>
      <c r="M138" s="71"/>
      <c r="N138" s="71"/>
      <c r="O138" s="71"/>
      <c r="P138" s="71" t="n">
        <f aca="false">ROUND(((F138*53.23)*35%)*C138,2)</f>
        <v>3048.7</v>
      </c>
      <c r="Q138" s="71" t="n">
        <f aca="false">ROUND((F138*5.5)*C138,2)</f>
        <v>900.02</v>
      </c>
      <c r="R138" s="71"/>
      <c r="S138" s="71"/>
      <c r="T138" s="71"/>
      <c r="U138" s="71" t="n">
        <f aca="false">H138+I138+K138+L138+M138+N138+O138+P138+Q138+R138+S138</f>
        <v>33065.17</v>
      </c>
      <c r="V138" s="72" t="n">
        <f aca="false">(U138*$AK$20)</f>
        <v>396782.04</v>
      </c>
      <c r="W138" s="117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  <c r="AL138" s="64"/>
      <c r="AM138" s="65"/>
      <c r="AN138" s="65"/>
      <c r="AO138" s="65"/>
      <c r="AP138" s="65"/>
      <c r="AQ138" s="65"/>
    </row>
    <row r="139" s="66" customFormat="true" ht="25.5" hidden="false" customHeight="true" outlineLevel="0" collapsed="false">
      <c r="A139" s="257" t="n">
        <v>75</v>
      </c>
      <c r="B139" s="258" t="s">
        <v>181</v>
      </c>
      <c r="C139" s="67" t="n">
        <v>2</v>
      </c>
      <c r="D139" s="14" t="s">
        <v>158</v>
      </c>
      <c r="E139" s="14" t="n">
        <f aca="false">$Y$19</f>
        <v>1.08</v>
      </c>
      <c r="F139" s="259" t="n">
        <f aca="false">ROUND(($AF$10*$AE$12*$AF$11*E139)/$AF$13,2)</f>
        <v>40.91</v>
      </c>
      <c r="G139" s="71" t="n">
        <f aca="false">ROUND(F139*$AH$13,2)</f>
        <v>6739.92</v>
      </c>
      <c r="H139" s="71" t="n">
        <f aca="false">C139*G139</f>
        <v>13479.84</v>
      </c>
      <c r="I139" s="71" t="n">
        <f aca="false">ROUND(H139*8%,2)</f>
        <v>1078.39</v>
      </c>
      <c r="J139" s="71"/>
      <c r="K139" s="71"/>
      <c r="L139" s="71"/>
      <c r="M139" s="71"/>
      <c r="N139" s="71"/>
      <c r="O139" s="71"/>
      <c r="P139" s="71" t="n">
        <f aca="false">ROUND(((F139*53.23)*35%)*C139,2)</f>
        <v>1524.35</v>
      </c>
      <c r="Q139" s="71" t="n">
        <f aca="false">ROUND((F139*5.5)*C139,2)</f>
        <v>450.01</v>
      </c>
      <c r="R139" s="71"/>
      <c r="S139" s="71"/>
      <c r="T139" s="71"/>
      <c r="U139" s="71" t="n">
        <f aca="false">H139+I139+K139+L139+M139+N139+O139+P139+Q139+R139+S139</f>
        <v>16532.59</v>
      </c>
      <c r="V139" s="72" t="n">
        <f aca="false">(U139*$AK$20)</f>
        <v>198391.08</v>
      </c>
      <c r="W139" s="117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  <c r="AL139" s="64"/>
      <c r="AM139" s="65"/>
      <c r="AN139" s="65"/>
      <c r="AO139" s="65"/>
      <c r="AP139" s="65"/>
      <c r="AQ139" s="65"/>
    </row>
    <row r="140" s="66" customFormat="true" ht="25.5" hidden="false" customHeight="false" outlineLevel="0" collapsed="false">
      <c r="A140" s="257" t="n">
        <v>76</v>
      </c>
      <c r="B140" s="258" t="s">
        <v>182</v>
      </c>
      <c r="C140" s="67" t="n">
        <v>1</v>
      </c>
      <c r="D140" s="14" t="s">
        <v>158</v>
      </c>
      <c r="E140" s="14" t="n">
        <f aca="false">$Y$19</f>
        <v>1.08</v>
      </c>
      <c r="F140" s="259" t="n">
        <f aca="false">ROUND(($AF$10*$AE$12*$AF$11*E140)/$AF$13,2)</f>
        <v>40.91</v>
      </c>
      <c r="G140" s="71" t="n">
        <f aca="false">ROUND(F140*$AH$13,2)</f>
        <v>6739.92</v>
      </c>
      <c r="H140" s="71" t="n">
        <f aca="false">C140*G140</f>
        <v>6739.92</v>
      </c>
      <c r="I140" s="71" t="n">
        <f aca="false">ROUND(H140*8%,2)</f>
        <v>539.19</v>
      </c>
      <c r="J140" s="71"/>
      <c r="K140" s="71"/>
      <c r="L140" s="71"/>
      <c r="M140" s="71"/>
      <c r="N140" s="71"/>
      <c r="O140" s="71"/>
      <c r="P140" s="71"/>
      <c r="Q140" s="71" t="n">
        <f aca="false">ROUND((F140*5.5)*C140,2)</f>
        <v>225.01</v>
      </c>
      <c r="R140" s="71"/>
      <c r="S140" s="71"/>
      <c r="T140" s="71"/>
      <c r="U140" s="71" t="n">
        <f aca="false">H140+I140+K140+L140+M140+N140+O140+P140+Q140+R140+S140</f>
        <v>7504.12</v>
      </c>
      <c r="V140" s="72" t="n">
        <f aca="false">(U140*$AK$20)</f>
        <v>90049.44</v>
      </c>
      <c r="W140" s="117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5"/>
      <c r="AN140" s="65"/>
      <c r="AO140" s="65"/>
      <c r="AP140" s="65"/>
      <c r="AQ140" s="65"/>
    </row>
    <row r="141" s="66" customFormat="true" ht="25.5" hidden="false" customHeight="false" outlineLevel="0" collapsed="false">
      <c r="A141" s="257" t="n">
        <v>77</v>
      </c>
      <c r="B141" s="258" t="s">
        <v>183</v>
      </c>
      <c r="C141" s="67" t="n">
        <v>4</v>
      </c>
      <c r="D141" s="14" t="s">
        <v>119</v>
      </c>
      <c r="E141" s="69" t="n">
        <f aca="false">$Z$19</f>
        <v>1.2</v>
      </c>
      <c r="F141" s="259" t="n">
        <f aca="false">ROUND(($AF$10*$AE$12*$AF$11*E141)/$AF$13,2)</f>
        <v>45.45</v>
      </c>
      <c r="G141" s="71" t="n">
        <f aca="false">ROUND(F141*$AH$13,2)</f>
        <v>7487.89</v>
      </c>
      <c r="H141" s="71" t="n">
        <f aca="false">C141*G141</f>
        <v>29951.56</v>
      </c>
      <c r="I141" s="71" t="n">
        <f aca="false">ROUND(H141*4%,2)</f>
        <v>1198.06</v>
      </c>
      <c r="J141" s="71"/>
      <c r="K141" s="71"/>
      <c r="L141" s="71"/>
      <c r="M141" s="71"/>
      <c r="N141" s="71"/>
      <c r="O141" s="71"/>
      <c r="P141" s="71"/>
      <c r="Q141" s="71" t="n">
        <f aca="false">ROUND((F141*5.5)*C141,2)</f>
        <v>999.9</v>
      </c>
      <c r="R141" s="71"/>
      <c r="S141" s="71"/>
      <c r="T141" s="71"/>
      <c r="U141" s="71" t="n">
        <f aca="false">H141+I141+K141+L141+M141+N141+O141+P141+Q141+R141+S141</f>
        <v>32149.52</v>
      </c>
      <c r="V141" s="72" t="n">
        <f aca="false">(U141*$AK$20)</f>
        <v>385794.24</v>
      </c>
      <c r="W141" s="117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5"/>
      <c r="AN141" s="65"/>
      <c r="AO141" s="65"/>
      <c r="AP141" s="65"/>
      <c r="AQ141" s="65"/>
    </row>
    <row r="142" s="66" customFormat="true" ht="15.75" hidden="false" customHeight="false" outlineLevel="0" collapsed="false">
      <c r="A142" s="257" t="n">
        <v>78</v>
      </c>
      <c r="B142" s="258" t="s">
        <v>163</v>
      </c>
      <c r="C142" s="67" t="n">
        <v>1</v>
      </c>
      <c r="D142" s="14" t="s">
        <v>119</v>
      </c>
      <c r="E142" s="69" t="n">
        <f aca="false">$Z$19</f>
        <v>1.2</v>
      </c>
      <c r="F142" s="259" t="n">
        <f aca="false">ROUND(($AF$10*$AE$12*$AF$11*E142)/$AF$13,2)</f>
        <v>45.45</v>
      </c>
      <c r="G142" s="71" t="n">
        <f aca="false">ROUND(F142*$AH$13,2)</f>
        <v>7487.89</v>
      </c>
      <c r="H142" s="71" t="n">
        <f aca="false">C142*G142</f>
        <v>7487.89</v>
      </c>
      <c r="I142" s="71" t="n">
        <f aca="false">ROUND(H142*4%,2)</f>
        <v>299.52</v>
      </c>
      <c r="J142" s="71"/>
      <c r="K142" s="71"/>
      <c r="L142" s="71"/>
      <c r="M142" s="71"/>
      <c r="N142" s="71"/>
      <c r="O142" s="71"/>
      <c r="P142" s="71"/>
      <c r="Q142" s="71" t="n">
        <f aca="false">ROUND((F142*5.5)*C142,2)</f>
        <v>249.98</v>
      </c>
      <c r="R142" s="71"/>
      <c r="S142" s="71"/>
      <c r="T142" s="71"/>
      <c r="U142" s="71" t="n">
        <f aca="false">H142+I142+K142+L142+M142+N142+O142+P142+Q142+R142+S142</f>
        <v>8037.39</v>
      </c>
      <c r="V142" s="72" t="n">
        <f aca="false">(U142*$AK$20)</f>
        <v>96448.68</v>
      </c>
      <c r="W142" s="117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  <c r="AL142" s="64"/>
      <c r="AM142" s="65"/>
      <c r="AN142" s="65"/>
      <c r="AO142" s="65"/>
      <c r="AP142" s="65"/>
      <c r="AQ142" s="65"/>
    </row>
    <row r="143" s="66" customFormat="true" ht="19.5" hidden="false" customHeight="true" outlineLevel="0" collapsed="false">
      <c r="A143" s="257" t="n">
        <v>79</v>
      </c>
      <c r="B143" s="258" t="s">
        <v>155</v>
      </c>
      <c r="C143" s="67" t="n">
        <v>5</v>
      </c>
      <c r="D143" s="14" t="s">
        <v>119</v>
      </c>
      <c r="E143" s="69" t="n">
        <f aca="false">$Z$19</f>
        <v>1.2</v>
      </c>
      <c r="F143" s="259" t="n">
        <f aca="false">ROUND(($AF$10*$AE$12*$AF$11*E143)/$AF$13,2)</f>
        <v>45.45</v>
      </c>
      <c r="G143" s="71" t="n">
        <f aca="false">ROUND(F143*$AH$13,2)</f>
        <v>7487.89</v>
      </c>
      <c r="H143" s="71" t="n">
        <f aca="false">C143*G143</f>
        <v>37439.45</v>
      </c>
      <c r="I143" s="71" t="n">
        <f aca="false">ROUND(H143*4%,2)</f>
        <v>1497.58</v>
      </c>
      <c r="J143" s="71"/>
      <c r="K143" s="71"/>
      <c r="L143" s="71"/>
      <c r="M143" s="71"/>
      <c r="N143" s="71"/>
      <c r="O143" s="71"/>
      <c r="P143" s="71" t="n">
        <f aca="false">ROUND(((F143*53.23)*35%)*C143,2)</f>
        <v>4233.78</v>
      </c>
      <c r="Q143" s="71" t="n">
        <f aca="false">ROUND((F143*5.5)*C143,2)</f>
        <v>1249.88</v>
      </c>
      <c r="R143" s="71"/>
      <c r="S143" s="71"/>
      <c r="T143" s="71"/>
      <c r="U143" s="71" t="n">
        <f aca="false">H143+I143+K143+L143+M143+N143+O143+P143+Q143+R143+S143</f>
        <v>44420.69</v>
      </c>
      <c r="V143" s="72" t="n">
        <f aca="false">(U143*$AK$20)</f>
        <v>533048.28</v>
      </c>
      <c r="W143" s="117"/>
      <c r="X143" s="64"/>
      <c r="Y143" s="64"/>
      <c r="Z143" s="64"/>
      <c r="AA143" s="64"/>
      <c r="AB143" s="64"/>
      <c r="AC143" s="64"/>
      <c r="AD143" s="64"/>
      <c r="AE143" s="64"/>
      <c r="AF143" s="64"/>
      <c r="AG143" s="64"/>
      <c r="AH143" s="64"/>
      <c r="AI143" s="64"/>
      <c r="AJ143" s="64"/>
      <c r="AK143" s="64"/>
      <c r="AL143" s="64"/>
      <c r="AM143" s="65"/>
      <c r="AN143" s="65"/>
      <c r="AO143" s="65"/>
      <c r="AP143" s="65"/>
      <c r="AQ143" s="65"/>
    </row>
    <row r="144" s="66" customFormat="true" ht="16.5" hidden="false" customHeight="false" outlineLevel="0" collapsed="false">
      <c r="A144" s="260" t="n">
        <v>80</v>
      </c>
      <c r="B144" s="264" t="s">
        <v>164</v>
      </c>
      <c r="C144" s="78" t="n">
        <v>2</v>
      </c>
      <c r="D144" s="81" t="s">
        <v>93</v>
      </c>
      <c r="E144" s="80" t="n">
        <f aca="false">$AA$19</f>
        <v>1.35</v>
      </c>
      <c r="F144" s="265" t="n">
        <f aca="false">ROUND(($AF$10*$AE$12*$AF$11*E144)/$AF$13,2)</f>
        <v>51.14</v>
      </c>
      <c r="G144" s="82" t="n">
        <f aca="false">ROUND(F144*$AH$13,2)</f>
        <v>8425.32</v>
      </c>
      <c r="H144" s="82" t="n">
        <f aca="false">C144*G144</f>
        <v>16850.64</v>
      </c>
      <c r="I144" s="82" t="n">
        <f aca="false">ROUND(H144*8%,2)</f>
        <v>1348.05</v>
      </c>
      <c r="J144" s="82"/>
      <c r="K144" s="82"/>
      <c r="L144" s="82"/>
      <c r="M144" s="82"/>
      <c r="N144" s="82"/>
      <c r="O144" s="82"/>
      <c r="P144" s="82"/>
      <c r="Q144" s="82" t="n">
        <f aca="false">ROUND((F144*5.5)*C144,2)</f>
        <v>562.54</v>
      </c>
      <c r="R144" s="82"/>
      <c r="S144" s="82"/>
      <c r="T144" s="82"/>
      <c r="U144" s="82" t="n">
        <f aca="false">H144+I144+K144+L144+M144+N144+O144+P144+Q144+R144+S144</f>
        <v>18761.23</v>
      </c>
      <c r="V144" s="72" t="n">
        <f aca="false">(U144*$AK$20)</f>
        <v>225134.76</v>
      </c>
      <c r="W144" s="117"/>
      <c r="X144" s="64"/>
      <c r="Y144" s="64"/>
      <c r="Z144" s="64"/>
      <c r="AA144" s="64"/>
      <c r="AB144" s="64"/>
      <c r="AC144" s="64"/>
      <c r="AD144" s="64"/>
      <c r="AE144" s="64"/>
      <c r="AF144" s="64"/>
      <c r="AG144" s="64"/>
      <c r="AH144" s="64"/>
      <c r="AI144" s="64"/>
      <c r="AJ144" s="64"/>
      <c r="AK144" s="64"/>
      <c r="AL144" s="64"/>
      <c r="AM144" s="65"/>
      <c r="AN144" s="65"/>
      <c r="AO144" s="65"/>
      <c r="AP144" s="65"/>
      <c r="AQ144" s="65"/>
    </row>
    <row r="145" s="155" customFormat="true" ht="15.75" hidden="false" customHeight="true" outlineLevel="0" collapsed="false">
      <c r="A145" s="157" t="s">
        <v>184</v>
      </c>
      <c r="B145" s="157"/>
      <c r="C145" s="158"/>
      <c r="D145" s="159"/>
      <c r="E145" s="158"/>
      <c r="F145" s="158"/>
      <c r="G145" s="266"/>
      <c r="H145" s="266"/>
      <c r="I145" s="266"/>
      <c r="J145" s="266"/>
      <c r="K145" s="266"/>
      <c r="L145" s="266"/>
      <c r="M145" s="266"/>
      <c r="N145" s="266"/>
      <c r="O145" s="266"/>
      <c r="P145" s="266"/>
      <c r="Q145" s="266"/>
      <c r="R145" s="266"/>
      <c r="S145" s="266"/>
      <c r="T145" s="266"/>
      <c r="U145" s="266"/>
      <c r="V145" s="267"/>
      <c r="W145" s="117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53"/>
      <c r="AL145" s="153"/>
      <c r="AM145" s="154"/>
      <c r="AN145" s="154"/>
      <c r="AO145" s="154"/>
      <c r="AP145" s="154"/>
      <c r="AQ145" s="154"/>
    </row>
    <row r="146" s="66" customFormat="true" ht="26.25" hidden="false" customHeight="false" outlineLevel="0" collapsed="false">
      <c r="A146" s="190" t="n">
        <v>81</v>
      </c>
      <c r="B146" s="191" t="s">
        <v>170</v>
      </c>
      <c r="C146" s="150" t="n">
        <v>1</v>
      </c>
      <c r="D146" s="149" t="n">
        <v>1.3</v>
      </c>
      <c r="E146" s="150"/>
      <c r="F146" s="150"/>
      <c r="G146" s="151" t="n">
        <f aca="false">ROUND($AF$10*$AF$11*D146*$AF$12,0)</f>
        <v>7134</v>
      </c>
      <c r="H146" s="151" t="n">
        <f aca="false">C146*G146</f>
        <v>7134</v>
      </c>
      <c r="I146" s="151" t="n">
        <f aca="false">ROUND(H146*4%,2)</f>
        <v>285.36</v>
      </c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 t="n">
        <f aca="false">H146+I146+K146+L146+M146+N146+O146+P146+Q146+R146+S146</f>
        <v>7419.36</v>
      </c>
      <c r="V146" s="205" t="n">
        <f aca="false">(U146*$AK$20)</f>
        <v>89032.32</v>
      </c>
      <c r="W146" s="117"/>
      <c r="X146" s="64"/>
      <c r="Y146" s="64"/>
      <c r="Z146" s="64"/>
      <c r="AA146" s="64"/>
      <c r="AB146" s="64"/>
      <c r="AC146" s="64"/>
      <c r="AD146" s="64"/>
      <c r="AE146" s="64"/>
      <c r="AF146" s="64"/>
      <c r="AG146" s="64"/>
      <c r="AH146" s="64"/>
      <c r="AI146" s="64"/>
      <c r="AJ146" s="64"/>
      <c r="AK146" s="64"/>
      <c r="AL146" s="64"/>
      <c r="AM146" s="65"/>
      <c r="AN146" s="65"/>
      <c r="AO146" s="65"/>
      <c r="AP146" s="65"/>
      <c r="AQ146" s="65"/>
    </row>
    <row r="147" s="66" customFormat="true" ht="16.5" hidden="false" customHeight="false" outlineLevel="0" collapsed="false">
      <c r="A147" s="247" t="s">
        <v>185</v>
      </c>
      <c r="B147" s="268"/>
      <c r="C147" s="268"/>
      <c r="D147" s="269"/>
      <c r="E147" s="268"/>
      <c r="F147" s="268"/>
      <c r="G147" s="270"/>
      <c r="H147" s="270"/>
      <c r="I147" s="270"/>
      <c r="J147" s="270"/>
      <c r="K147" s="270"/>
      <c r="L147" s="270"/>
      <c r="M147" s="270"/>
      <c r="N147" s="270"/>
      <c r="O147" s="270"/>
      <c r="P147" s="270"/>
      <c r="Q147" s="270"/>
      <c r="R147" s="270"/>
      <c r="S147" s="270"/>
      <c r="T147" s="270"/>
      <c r="U147" s="270"/>
      <c r="V147" s="271"/>
      <c r="W147" s="117"/>
      <c r="X147" s="64"/>
      <c r="Y147" s="64"/>
      <c r="Z147" s="64"/>
      <c r="AA147" s="64"/>
      <c r="AB147" s="64"/>
      <c r="AC147" s="64"/>
      <c r="AD147" s="64"/>
      <c r="AE147" s="64"/>
      <c r="AF147" s="64"/>
      <c r="AG147" s="64"/>
      <c r="AH147" s="64"/>
      <c r="AI147" s="64"/>
      <c r="AJ147" s="64"/>
      <c r="AK147" s="64"/>
      <c r="AL147" s="64"/>
      <c r="AM147" s="65"/>
      <c r="AN147" s="65"/>
      <c r="AO147" s="65"/>
      <c r="AP147" s="65"/>
      <c r="AQ147" s="65"/>
    </row>
    <row r="148" s="66" customFormat="true" ht="15.75" hidden="false" customHeight="false" outlineLevel="0" collapsed="false">
      <c r="A148" s="254" t="n">
        <v>82</v>
      </c>
      <c r="B148" s="255" t="s">
        <v>151</v>
      </c>
      <c r="C148" s="58" t="n">
        <v>2</v>
      </c>
      <c r="D148" s="145" t="n">
        <v>2.1</v>
      </c>
      <c r="E148" s="60"/>
      <c r="F148" s="245"/>
      <c r="G148" s="62" t="n">
        <f aca="false">ROUND($AF$10*$AF$11*D148*$AF$12,0)</f>
        <v>11525</v>
      </c>
      <c r="H148" s="62" t="n">
        <f aca="false">C148*G148</f>
        <v>23050</v>
      </c>
      <c r="I148" s="62"/>
      <c r="J148" s="62"/>
      <c r="K148" s="62"/>
      <c r="L148" s="62"/>
      <c r="M148" s="62"/>
      <c r="N148" s="62"/>
      <c r="O148" s="62"/>
      <c r="P148" s="62"/>
      <c r="Q148" s="62" t="n">
        <f aca="false">ROUND(((G148/$AH$13)*5.5)*C148,2)</f>
        <v>769.5</v>
      </c>
      <c r="R148" s="62"/>
      <c r="S148" s="62"/>
      <c r="T148" s="62"/>
      <c r="U148" s="62" t="n">
        <f aca="false">H148+I148+K148+L148+M148+N148+O148+P148+Q148+R148+S148</f>
        <v>23819.5</v>
      </c>
      <c r="V148" s="72" t="n">
        <f aca="false">(U148*$AK$20)</f>
        <v>285834</v>
      </c>
      <c r="W148" s="117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5"/>
      <c r="AN148" s="65"/>
      <c r="AO148" s="65"/>
      <c r="AP148" s="65"/>
      <c r="AQ148" s="65"/>
    </row>
    <row r="149" s="66" customFormat="true" ht="26.25" hidden="false" customHeight="false" outlineLevel="0" collapsed="false">
      <c r="A149" s="272" t="n">
        <v>83</v>
      </c>
      <c r="B149" s="261" t="s">
        <v>166</v>
      </c>
      <c r="C149" s="273" t="n">
        <v>6</v>
      </c>
      <c r="D149" s="115" t="s">
        <v>131</v>
      </c>
      <c r="E149" s="114" t="n">
        <v>1.54</v>
      </c>
      <c r="F149" s="263" t="n">
        <f aca="false">ROUND(($AF$10*$AG$12*$AF$11*E149)/$AF$13,2)</f>
        <v>65.62</v>
      </c>
      <c r="G149" s="116" t="n">
        <f aca="false">ROUND(F149*$AH$13,2)</f>
        <v>10810.9</v>
      </c>
      <c r="H149" s="116" t="n">
        <f aca="false">C149*G149</f>
        <v>64865.4</v>
      </c>
      <c r="I149" s="116"/>
      <c r="J149" s="116"/>
      <c r="K149" s="116"/>
      <c r="L149" s="116"/>
      <c r="M149" s="116"/>
      <c r="N149" s="116"/>
      <c r="O149" s="116"/>
      <c r="P149" s="116"/>
      <c r="Q149" s="116" t="n">
        <f aca="false">ROUND((F149*5.5)*C149,2)</f>
        <v>2165.46</v>
      </c>
      <c r="R149" s="116"/>
      <c r="S149" s="116"/>
      <c r="T149" s="116"/>
      <c r="U149" s="116" t="n">
        <f aca="false">H149+I149+K149+L149+M149+N149+O149+P149+Q149+R149+S149</f>
        <v>67030.86</v>
      </c>
      <c r="V149" s="72" t="n">
        <f aca="false">(U149*$AK$20)</f>
        <v>804370.32</v>
      </c>
      <c r="W149" s="27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5"/>
      <c r="AN149" s="65"/>
      <c r="AO149" s="65"/>
      <c r="AP149" s="65"/>
      <c r="AQ149" s="65"/>
    </row>
    <row r="150" s="155" customFormat="true" ht="21.75" hidden="false" customHeight="true" outlineLevel="0" collapsed="false">
      <c r="A150" s="275" t="s">
        <v>153</v>
      </c>
      <c r="B150" s="275"/>
      <c r="C150" s="276" t="n">
        <f aca="false">C128+C129+C148</f>
        <v>5</v>
      </c>
      <c r="D150" s="150"/>
      <c r="E150" s="150"/>
      <c r="F150" s="277"/>
      <c r="G150" s="151" t="n">
        <f aca="false">G128+G129+G148</f>
        <v>35672</v>
      </c>
      <c r="H150" s="151" t="n">
        <f aca="false">H128+H129+H148</f>
        <v>58173</v>
      </c>
      <c r="I150" s="151" t="n">
        <f aca="false">I128+I129+I148</f>
        <v>0</v>
      </c>
      <c r="J150" s="151"/>
      <c r="K150" s="151" t="n">
        <f aca="false">K128+K129+K148</f>
        <v>0</v>
      </c>
      <c r="L150" s="151" t="n">
        <f aca="false">L128+L129+L148</f>
        <v>0</v>
      </c>
      <c r="M150" s="151" t="n">
        <f aca="false">M128+M129+M148</f>
        <v>0</v>
      </c>
      <c r="N150" s="151" t="n">
        <f aca="false">N128+N129+N148</f>
        <v>0</v>
      </c>
      <c r="O150" s="151" t="n">
        <f aca="false">O128+O129+O148</f>
        <v>0</v>
      </c>
      <c r="P150" s="151" t="n">
        <f aca="false">P128+P129+P148</f>
        <v>0</v>
      </c>
      <c r="Q150" s="151" t="n">
        <f aca="false">Q128+Q129+Q148</f>
        <v>1502.34</v>
      </c>
      <c r="R150" s="151" t="n">
        <f aca="false">R128+R129+R148</f>
        <v>0</v>
      </c>
      <c r="S150" s="151" t="n">
        <f aca="false">S128+S129+S148</f>
        <v>0</v>
      </c>
      <c r="T150" s="151" t="n">
        <f aca="false">T128+T129+T148</f>
        <v>0</v>
      </c>
      <c r="U150" s="151" t="n">
        <f aca="false">U128+U129+U148</f>
        <v>59675.34</v>
      </c>
      <c r="V150" s="152" t="n">
        <f aca="false">V128+V129+V148</f>
        <v>716104.08</v>
      </c>
      <c r="W150" s="117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  <c r="AH150" s="153"/>
      <c r="AI150" s="153"/>
      <c r="AJ150" s="153"/>
      <c r="AK150" s="153"/>
      <c r="AL150" s="153"/>
      <c r="AM150" s="154"/>
      <c r="AN150" s="154"/>
      <c r="AO150" s="154"/>
      <c r="AP150" s="154"/>
      <c r="AQ150" s="154"/>
    </row>
    <row r="151" s="155" customFormat="true" ht="17.25" hidden="false" customHeight="true" outlineLevel="0" collapsed="false">
      <c r="A151" s="278" t="s">
        <v>186</v>
      </c>
      <c r="B151" s="278"/>
      <c r="C151" s="250" t="n">
        <f aca="false">SUM(C131:C146)+C149</f>
        <v>41</v>
      </c>
      <c r="D151" s="279"/>
      <c r="E151" s="279"/>
      <c r="F151" s="3"/>
      <c r="G151" s="163" t="n">
        <f aca="false">SUM(G131:G146)+G149</f>
        <v>110926.52</v>
      </c>
      <c r="H151" s="163" t="n">
        <f aca="false">SUM(H131:H146)+H149</f>
        <v>328164.26</v>
      </c>
      <c r="I151" s="163" t="n">
        <f aca="false">SUM(I131:I146)+I149</f>
        <v>15771.66</v>
      </c>
      <c r="J151" s="163"/>
      <c r="K151" s="163" t="n">
        <f aca="false">SUM(K131:K146)+K149</f>
        <v>0</v>
      </c>
      <c r="L151" s="163" t="n">
        <f aca="false">SUM(L131:L146)+L149</f>
        <v>0</v>
      </c>
      <c r="M151" s="163" t="n">
        <f aca="false">SUM(M131:M146)+M149</f>
        <v>0</v>
      </c>
      <c r="N151" s="163" t="n">
        <f aca="false">SUM(N131:N146)+N149</f>
        <v>0</v>
      </c>
      <c r="O151" s="163" t="n">
        <f aca="false">SUM(O131:O146)+O149</f>
        <v>0</v>
      </c>
      <c r="P151" s="163" t="n">
        <f aca="false">SUM(P131:P146)+P149</f>
        <v>17719.65</v>
      </c>
      <c r="Q151" s="163" t="n">
        <f aca="false">SUM(Q131:Q146)+Q149</f>
        <v>10396.45</v>
      </c>
      <c r="R151" s="163" t="n">
        <f aca="false">SUM(R131:R146)+R149</f>
        <v>0</v>
      </c>
      <c r="S151" s="163" t="n">
        <f aca="false">SUM(S131:S146)+S149</f>
        <v>0</v>
      </c>
      <c r="T151" s="163" t="n">
        <f aca="false">SUM(T131:T146)+T149</f>
        <v>0</v>
      </c>
      <c r="U151" s="163" t="n">
        <f aca="false">SUM(U131:U146)+U149</f>
        <v>372052.02</v>
      </c>
      <c r="V151" s="164" t="n">
        <f aca="false">SUM(V131:V146)+V149</f>
        <v>4464624.24</v>
      </c>
      <c r="W151" s="117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  <c r="AH151" s="153"/>
      <c r="AI151" s="153"/>
      <c r="AJ151" s="153"/>
      <c r="AK151" s="153"/>
      <c r="AL151" s="153"/>
      <c r="AM151" s="154"/>
      <c r="AN151" s="154"/>
      <c r="AO151" s="154"/>
      <c r="AP151" s="154"/>
      <c r="AQ151" s="154"/>
    </row>
    <row r="152" s="104" customFormat="true" ht="24" hidden="false" customHeight="true" outlineLevel="0" collapsed="false">
      <c r="A152" s="280" t="s">
        <v>187</v>
      </c>
      <c r="B152" s="280"/>
      <c r="C152" s="281" t="n">
        <f aca="false">SUM(C150:C151)</f>
        <v>46</v>
      </c>
      <c r="D152" s="281"/>
      <c r="E152" s="281"/>
      <c r="F152" s="281"/>
      <c r="G152" s="281" t="n">
        <f aca="false">SUM(G150:G151)</f>
        <v>146598.52</v>
      </c>
      <c r="H152" s="281" t="n">
        <f aca="false">SUM(H150:H151)</f>
        <v>386337.26</v>
      </c>
      <c r="I152" s="281" t="n">
        <f aca="false">SUM(I150:I151)</f>
        <v>15771.66</v>
      </c>
      <c r="J152" s="281" t="n">
        <f aca="false">SUM(J150:J151)</f>
        <v>0</v>
      </c>
      <c r="K152" s="281" t="n">
        <f aca="false">SUM(K150:K151)</f>
        <v>0</v>
      </c>
      <c r="L152" s="281" t="n">
        <f aca="false">SUM(L150:L151)</f>
        <v>0</v>
      </c>
      <c r="M152" s="281" t="n">
        <f aca="false">SUM(M150:M151)</f>
        <v>0</v>
      </c>
      <c r="N152" s="281" t="n">
        <f aca="false">SUM(N150:N151)</f>
        <v>0</v>
      </c>
      <c r="O152" s="281" t="n">
        <f aca="false">SUM(O150:O151)</f>
        <v>0</v>
      </c>
      <c r="P152" s="281" t="n">
        <f aca="false">SUM(P150:P151)</f>
        <v>17719.65</v>
      </c>
      <c r="Q152" s="281" t="n">
        <f aca="false">SUM(Q150:Q151)</f>
        <v>11898.79</v>
      </c>
      <c r="R152" s="281" t="n">
        <f aca="false">SUM(R150:R151)</f>
        <v>0</v>
      </c>
      <c r="S152" s="281" t="n">
        <f aca="false">SUM(S150:S151)</f>
        <v>0</v>
      </c>
      <c r="T152" s="281" t="n">
        <f aca="false">SUM(T150:T151)</f>
        <v>0</v>
      </c>
      <c r="U152" s="281" t="n">
        <f aca="false">SUM(U150:U151)</f>
        <v>431727.36</v>
      </c>
      <c r="V152" s="282" t="n">
        <f aca="false">SUM(V150:V151)</f>
        <v>5180728.32</v>
      </c>
      <c r="W152" s="123" t="n">
        <f aca="false">(V152-W133)*22%</f>
        <v>1112480.1072</v>
      </c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3"/>
      <c r="AN152" s="103"/>
      <c r="AO152" s="103"/>
      <c r="AP152" s="103"/>
      <c r="AQ152" s="103"/>
    </row>
    <row r="153" s="155" customFormat="true" ht="16.5" hidden="false" customHeight="true" outlineLevel="0" collapsed="false">
      <c r="A153" s="283" t="s">
        <v>188</v>
      </c>
      <c r="B153" s="283"/>
      <c r="C153" s="283"/>
      <c r="D153" s="283"/>
      <c r="E153" s="283"/>
      <c r="F153" s="283"/>
      <c r="G153" s="283"/>
      <c r="H153" s="283"/>
      <c r="I153" s="283"/>
      <c r="J153" s="283"/>
      <c r="K153" s="283"/>
      <c r="L153" s="283"/>
      <c r="M153" s="283"/>
      <c r="N153" s="283"/>
      <c r="O153" s="283"/>
      <c r="P153" s="283"/>
      <c r="Q153" s="283"/>
      <c r="R153" s="283"/>
      <c r="S153" s="283"/>
      <c r="T153" s="283"/>
      <c r="U153" s="283"/>
      <c r="V153" s="283"/>
      <c r="W153" s="117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  <c r="AH153" s="153"/>
      <c r="AI153" s="153"/>
      <c r="AJ153" s="153"/>
      <c r="AK153" s="153"/>
      <c r="AL153" s="153"/>
      <c r="AM153" s="154"/>
      <c r="AN153" s="154"/>
      <c r="AO153" s="154"/>
      <c r="AP153" s="154"/>
      <c r="AQ153" s="154"/>
    </row>
    <row r="154" s="66" customFormat="true" ht="15.75" hidden="false" customHeight="false" outlineLevel="0" collapsed="false">
      <c r="A154" s="254" t="n">
        <v>84</v>
      </c>
      <c r="B154" s="284" t="s">
        <v>189</v>
      </c>
      <c r="C154" s="285" t="n">
        <v>1</v>
      </c>
      <c r="D154" s="145" t="n">
        <v>2.4</v>
      </c>
      <c r="E154" s="60"/>
      <c r="F154" s="245"/>
      <c r="G154" s="62" t="n">
        <f aca="false">ROUND($AF$10*$AF$11*D154*$AF$12,0)</f>
        <v>13171</v>
      </c>
      <c r="H154" s="62" t="n">
        <f aca="false">C154*G154</f>
        <v>13171</v>
      </c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 t="n">
        <f aca="false">H154+I154+K154+L154+M154+N154+O154+P154+Q154+R154+S154</f>
        <v>13171</v>
      </c>
      <c r="V154" s="286" t="n">
        <f aca="false">(U154*$AK$20)</f>
        <v>158052</v>
      </c>
      <c r="W154" s="117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  <c r="AL154" s="64"/>
      <c r="AM154" s="65"/>
      <c r="AN154" s="65"/>
      <c r="AO154" s="65"/>
      <c r="AP154" s="65"/>
      <c r="AQ154" s="65"/>
    </row>
    <row r="155" s="66" customFormat="true" ht="16.5" hidden="false" customHeight="false" outlineLevel="0" collapsed="false">
      <c r="A155" s="260" t="n">
        <v>85</v>
      </c>
      <c r="B155" s="287" t="s">
        <v>151</v>
      </c>
      <c r="C155" s="288" t="n">
        <v>2</v>
      </c>
      <c r="D155" s="81" t="n">
        <v>2.1</v>
      </c>
      <c r="E155" s="80"/>
      <c r="F155" s="246"/>
      <c r="G155" s="82" t="n">
        <f aca="false">ROUND($AF$10*$AF$11*D155*$AF$12,0)</f>
        <v>11525</v>
      </c>
      <c r="H155" s="82" t="n">
        <f aca="false">C155*G155</f>
        <v>23050</v>
      </c>
      <c r="I155" s="82"/>
      <c r="J155" s="82"/>
      <c r="K155" s="82"/>
      <c r="L155" s="82"/>
      <c r="M155" s="82"/>
      <c r="N155" s="82"/>
      <c r="O155" s="82"/>
      <c r="P155" s="82"/>
      <c r="Q155" s="82" t="n">
        <f aca="false">ROUND(((G155/$AH$13)*5.5)*C155,2)</f>
        <v>769.5</v>
      </c>
      <c r="R155" s="82"/>
      <c r="S155" s="82"/>
      <c r="T155" s="82"/>
      <c r="U155" s="82" t="n">
        <f aca="false">H155+I155+K155+L155+M155+N155+O155+P155+Q155+R155+S155</f>
        <v>23819.5</v>
      </c>
      <c r="V155" s="286" t="n">
        <f aca="false">(U155*$AK$20)</f>
        <v>285834</v>
      </c>
      <c r="W155" s="117"/>
      <c r="X155" s="64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5"/>
      <c r="AN155" s="65"/>
      <c r="AO155" s="65"/>
      <c r="AP155" s="65"/>
      <c r="AQ155" s="65"/>
    </row>
    <row r="156" s="155" customFormat="true" ht="17.25" hidden="false" customHeight="true" outlineLevel="0" collapsed="false">
      <c r="A156" s="289" t="s">
        <v>129</v>
      </c>
      <c r="B156" s="289"/>
      <c r="C156" s="290" t="n">
        <f aca="false">SUM(C154:C155)</f>
        <v>3</v>
      </c>
      <c r="D156" s="149"/>
      <c r="E156" s="149"/>
      <c r="F156" s="291"/>
      <c r="G156" s="151" t="n">
        <f aca="false">SUM(G154:G155)</f>
        <v>24696</v>
      </c>
      <c r="H156" s="151" t="n">
        <f aca="false">SUM(H154:H155)</f>
        <v>36221</v>
      </c>
      <c r="I156" s="151" t="n">
        <f aca="false">SUM(I154:I155)</f>
        <v>0</v>
      </c>
      <c r="J156" s="151" t="n">
        <f aca="false">SUM(J154:J155)</f>
        <v>0</v>
      </c>
      <c r="K156" s="151" t="n">
        <f aca="false">SUM(K154:K155)</f>
        <v>0</v>
      </c>
      <c r="L156" s="151" t="n">
        <f aca="false">SUM(L154:L155)</f>
        <v>0</v>
      </c>
      <c r="M156" s="151" t="n">
        <f aca="false">SUM(M154:M155)</f>
        <v>0</v>
      </c>
      <c r="N156" s="151" t="n">
        <f aca="false">SUM(N154:N155)</f>
        <v>0</v>
      </c>
      <c r="O156" s="151" t="n">
        <f aca="false">SUM(O154:O155)</f>
        <v>0</v>
      </c>
      <c r="P156" s="151" t="n">
        <f aca="false">SUM(P154:P155)</f>
        <v>0</v>
      </c>
      <c r="Q156" s="151" t="n">
        <f aca="false">SUM(Q154:Q155)</f>
        <v>769.5</v>
      </c>
      <c r="R156" s="151" t="n">
        <f aca="false">SUM(R154:R155)</f>
        <v>0</v>
      </c>
      <c r="S156" s="151" t="n">
        <f aca="false">SUM(S154:S155)</f>
        <v>0</v>
      </c>
      <c r="T156" s="151" t="n">
        <f aca="false">SUM(T154:T155)</f>
        <v>0</v>
      </c>
      <c r="U156" s="151" t="n">
        <f aca="false">SUM(U154:U155)</f>
        <v>36990.5</v>
      </c>
      <c r="V156" s="152" t="n">
        <f aca="false">SUM(V154:V155)</f>
        <v>443886</v>
      </c>
      <c r="W156" s="117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  <c r="AH156" s="153"/>
      <c r="AI156" s="153"/>
      <c r="AJ156" s="153"/>
      <c r="AK156" s="153"/>
      <c r="AL156" s="153"/>
      <c r="AM156" s="154"/>
      <c r="AN156" s="154"/>
      <c r="AO156" s="154"/>
      <c r="AP156" s="154"/>
      <c r="AQ156" s="154"/>
    </row>
    <row r="157" s="155" customFormat="true" ht="18.75" hidden="false" customHeight="true" outlineLevel="0" collapsed="false">
      <c r="A157" s="292" t="s">
        <v>190</v>
      </c>
      <c r="B157" s="292"/>
      <c r="C157" s="292"/>
      <c r="D157" s="292"/>
      <c r="E157" s="292"/>
      <c r="F157" s="292"/>
      <c r="G157" s="292"/>
      <c r="H157" s="292"/>
      <c r="I157" s="292"/>
      <c r="J157" s="292"/>
      <c r="K157" s="292"/>
      <c r="L157" s="292"/>
      <c r="M157" s="292"/>
      <c r="N157" s="292"/>
      <c r="O157" s="292"/>
      <c r="P157" s="292"/>
      <c r="Q157" s="292"/>
      <c r="R157" s="292"/>
      <c r="S157" s="292"/>
      <c r="T157" s="292"/>
      <c r="U157" s="292"/>
      <c r="V157" s="292"/>
      <c r="W157" s="117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  <c r="AH157" s="153"/>
      <c r="AI157" s="153"/>
      <c r="AJ157" s="153"/>
      <c r="AK157" s="153"/>
      <c r="AL157" s="153"/>
      <c r="AM157" s="154"/>
      <c r="AN157" s="154"/>
      <c r="AO157" s="154"/>
      <c r="AP157" s="154"/>
      <c r="AQ157" s="154"/>
    </row>
    <row r="158" s="66" customFormat="true" ht="27" hidden="false" customHeight="true" outlineLevel="0" collapsed="false">
      <c r="A158" s="254" t="n">
        <v>86</v>
      </c>
      <c r="B158" s="255" t="s">
        <v>166</v>
      </c>
      <c r="C158" s="58" t="n">
        <v>7</v>
      </c>
      <c r="D158" s="145" t="s">
        <v>131</v>
      </c>
      <c r="E158" s="60" t="n">
        <v>1.54</v>
      </c>
      <c r="F158" s="256" t="n">
        <f aca="false">ROUND(($AF$10*$AG$12*$AF$11*E158)/$AF$13,2)</f>
        <v>65.62</v>
      </c>
      <c r="G158" s="62" t="n">
        <f aca="false">ROUND(F158*$AH$13,2)</f>
        <v>10810.9</v>
      </c>
      <c r="H158" s="62" t="n">
        <f aca="false">C158*G158</f>
        <v>75676.3</v>
      </c>
      <c r="I158" s="62" t="n">
        <f aca="false">ROUND(H158*4%,2)</f>
        <v>3027.05</v>
      </c>
      <c r="J158" s="62"/>
      <c r="K158" s="62"/>
      <c r="L158" s="62"/>
      <c r="M158" s="62"/>
      <c r="N158" s="62"/>
      <c r="O158" s="62"/>
      <c r="P158" s="62"/>
      <c r="Q158" s="62" t="n">
        <f aca="false">ROUND((F158*5.5)*C158,2)</f>
        <v>2526.37</v>
      </c>
      <c r="R158" s="62"/>
      <c r="S158" s="62"/>
      <c r="T158" s="62"/>
      <c r="U158" s="62" t="n">
        <f aca="false">H158+I158+K158+L158+M158+N158+O158+P158+Q158+R158+S158</f>
        <v>81229.72</v>
      </c>
      <c r="V158" s="286" t="n">
        <f aca="false">(U158*$AK$20)</f>
        <v>974756.64</v>
      </c>
      <c r="W158" s="117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5"/>
      <c r="AN158" s="65"/>
      <c r="AO158" s="65"/>
      <c r="AP158" s="65"/>
      <c r="AQ158" s="65"/>
    </row>
    <row r="159" s="65" customFormat="true" ht="27" hidden="false" customHeight="true" outlineLevel="0" collapsed="false">
      <c r="A159" s="293" t="n">
        <v>87</v>
      </c>
      <c r="B159" s="294" t="s">
        <v>166</v>
      </c>
      <c r="C159" s="295" t="n">
        <v>2</v>
      </c>
      <c r="D159" s="76" t="s">
        <v>93</v>
      </c>
      <c r="E159" s="75" t="n">
        <v>1.35</v>
      </c>
      <c r="F159" s="263" t="n">
        <f aca="false">ROUND(($AF$10*$AH$12*$AF$11*E159)/$AF$13,2)</f>
        <v>57.53</v>
      </c>
      <c r="G159" s="71" t="n">
        <f aca="false">ROUND(F159*$AH$13,2)</f>
        <v>9478.07</v>
      </c>
      <c r="H159" s="71" t="n">
        <f aca="false">C159*G159</f>
        <v>18956.14</v>
      </c>
      <c r="I159" s="71" t="n">
        <f aca="false">ROUND(H159*4%,2)</f>
        <v>758.25</v>
      </c>
      <c r="J159" s="71"/>
      <c r="K159" s="71"/>
      <c r="L159" s="71"/>
      <c r="M159" s="71"/>
      <c r="N159" s="71"/>
      <c r="O159" s="71"/>
      <c r="P159" s="71"/>
      <c r="Q159" s="71" t="n">
        <f aca="false">ROUND((F159*5.5)*C159,2)</f>
        <v>632.83</v>
      </c>
      <c r="R159" s="71"/>
      <c r="S159" s="71"/>
      <c r="T159" s="71"/>
      <c r="U159" s="71" t="n">
        <f aca="false">H159+I159+K159+L159+M159+N159+O159+P159+Q159+R159+S159</f>
        <v>20347.22</v>
      </c>
      <c r="V159" s="286" t="n">
        <f aca="false">(U159*$AK$20)</f>
        <v>244166.64</v>
      </c>
      <c r="W159" s="274"/>
      <c r="X159" s="64"/>
      <c r="Y159" s="64"/>
      <c r="Z159" s="64"/>
      <c r="AA159" s="64"/>
      <c r="AB159" s="64"/>
      <c r="AC159" s="64"/>
      <c r="AD159" s="64"/>
      <c r="AE159" s="64"/>
      <c r="AF159" s="64"/>
      <c r="AG159" s="64"/>
      <c r="AH159" s="64"/>
      <c r="AI159" s="64"/>
      <c r="AJ159" s="64"/>
      <c r="AK159" s="64"/>
      <c r="AL159" s="64"/>
    </row>
    <row r="160" s="66" customFormat="true" ht="27" hidden="false" customHeight="true" outlineLevel="0" collapsed="false">
      <c r="A160" s="257" t="n">
        <v>88</v>
      </c>
      <c r="B160" s="258" t="s">
        <v>166</v>
      </c>
      <c r="C160" s="67" t="n">
        <v>1</v>
      </c>
      <c r="D160" s="14" t="s">
        <v>119</v>
      </c>
      <c r="E160" s="69" t="n">
        <f aca="false">$Z$19</f>
        <v>1.2</v>
      </c>
      <c r="F160" s="263" t="n">
        <f aca="false">ROUND(($AF$10*$AH$12*$AF$11*E160)/$AF$13,2)</f>
        <v>51.14</v>
      </c>
      <c r="G160" s="71" t="n">
        <f aca="false">ROUND(F160*$AH$13,2)</f>
        <v>8425.32</v>
      </c>
      <c r="H160" s="71" t="n">
        <f aca="false">C160*G160</f>
        <v>8425.32</v>
      </c>
      <c r="I160" s="71" t="n">
        <f aca="false">ROUND(H160*4%,2)</f>
        <v>337.01</v>
      </c>
      <c r="J160" s="71"/>
      <c r="K160" s="71"/>
      <c r="L160" s="71"/>
      <c r="M160" s="71"/>
      <c r="N160" s="71"/>
      <c r="O160" s="71"/>
      <c r="P160" s="71"/>
      <c r="Q160" s="71" t="n">
        <f aca="false">ROUND((F160*5.5)*C160,2)</f>
        <v>281.27</v>
      </c>
      <c r="R160" s="71"/>
      <c r="S160" s="71"/>
      <c r="T160" s="71"/>
      <c r="U160" s="71" t="n">
        <f aca="false">H160+I160+K160+L160+M160+N160+O160+P160+Q160+R160+S160</f>
        <v>9043.6</v>
      </c>
      <c r="V160" s="286" t="n">
        <f aca="false">(U160*$AK$20)</f>
        <v>108523.2</v>
      </c>
      <c r="W160" s="274"/>
      <c r="X160" s="64"/>
      <c r="Y160" s="64"/>
      <c r="Z160" s="64"/>
      <c r="AA160" s="64"/>
      <c r="AB160" s="64"/>
      <c r="AC160" s="64"/>
      <c r="AD160" s="64"/>
      <c r="AE160" s="64"/>
      <c r="AF160" s="64"/>
      <c r="AG160" s="64"/>
      <c r="AH160" s="64"/>
      <c r="AI160" s="64"/>
      <c r="AJ160" s="64"/>
      <c r="AK160" s="64"/>
      <c r="AL160" s="64"/>
      <c r="AM160" s="65"/>
      <c r="AN160" s="65"/>
      <c r="AO160" s="65"/>
      <c r="AP160" s="65"/>
      <c r="AQ160" s="65"/>
    </row>
    <row r="161" s="66" customFormat="true" ht="15.75" hidden="false" customHeight="false" outlineLevel="0" collapsed="false">
      <c r="A161" s="257" t="n">
        <v>89</v>
      </c>
      <c r="B161" s="258" t="s">
        <v>167</v>
      </c>
      <c r="C161" s="67" t="n">
        <v>2</v>
      </c>
      <c r="D161" s="14" t="s">
        <v>131</v>
      </c>
      <c r="E161" s="69" t="n">
        <v>1.54</v>
      </c>
      <c r="F161" s="263" t="n">
        <f aca="false">ROUND(($AF$10*$AH$12*$AF$11*E161)/$AF$13,2)</f>
        <v>65.62</v>
      </c>
      <c r="G161" s="71" t="n">
        <f aca="false">ROUND(F161*$AH$13,2)</f>
        <v>10810.9</v>
      </c>
      <c r="H161" s="71" t="n">
        <f aca="false">C161*G161</f>
        <v>21621.8</v>
      </c>
      <c r="I161" s="71" t="n">
        <f aca="false">ROUND(H161*12%,2)</f>
        <v>2594.62</v>
      </c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 t="n">
        <f aca="false">H161+I161+K161+L161+M161+N161+O161+P161+Q161+R161+S161</f>
        <v>24216.42</v>
      </c>
      <c r="V161" s="286" t="n">
        <f aca="false">(U161*$AK$20)</f>
        <v>290597.04</v>
      </c>
      <c r="W161" s="274"/>
      <c r="X161" s="64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5"/>
      <c r="AN161" s="65"/>
      <c r="AO161" s="65"/>
      <c r="AP161" s="65"/>
      <c r="AQ161" s="65"/>
    </row>
    <row r="162" s="66" customFormat="true" ht="16.5" hidden="false" customHeight="false" outlineLevel="0" collapsed="false">
      <c r="A162" s="272" t="n">
        <v>90</v>
      </c>
      <c r="B162" s="261" t="s">
        <v>167</v>
      </c>
      <c r="C162" s="262" t="n">
        <v>1</v>
      </c>
      <c r="D162" s="115" t="str">
        <f aca="false">D160</f>
        <v>ІІІ</v>
      </c>
      <c r="E162" s="114" t="n">
        <f aca="false">$Z$19</f>
        <v>1.2</v>
      </c>
      <c r="F162" s="263" t="n">
        <f aca="false">ROUND(($AF$10*$AH$12*$AF$11*E162)/$AF$13,2)</f>
        <v>51.14</v>
      </c>
      <c r="G162" s="116" t="n">
        <f aca="false">ROUND(F162*$AH$13,2)</f>
        <v>8425.32</v>
      </c>
      <c r="H162" s="116" t="n">
        <f aca="false">C162*G162</f>
        <v>8425.32</v>
      </c>
      <c r="I162" s="116" t="n">
        <f aca="false">ROUND(H162*12%,2)</f>
        <v>1011.04</v>
      </c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 t="n">
        <f aca="false">H162+I162+K162+L162+M162+N162+O162+P162+Q162+R162+S162</f>
        <v>9436.36</v>
      </c>
      <c r="V162" s="286" t="n">
        <f aca="false">(U162*$AK$20)</f>
        <v>113236.32</v>
      </c>
      <c r="W162" s="117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5"/>
      <c r="AN162" s="65"/>
      <c r="AO162" s="65"/>
      <c r="AP162" s="65"/>
      <c r="AQ162" s="65"/>
    </row>
    <row r="163" s="155" customFormat="true" ht="18" hidden="false" customHeight="true" outlineLevel="0" collapsed="false">
      <c r="A163" s="289" t="s">
        <v>120</v>
      </c>
      <c r="B163" s="289"/>
      <c r="C163" s="296" t="n">
        <f aca="false">SUM(C158:C162)</f>
        <v>13</v>
      </c>
      <c r="D163" s="149"/>
      <c r="E163" s="149"/>
      <c r="F163" s="291"/>
      <c r="G163" s="151" t="n">
        <f aca="false">SUM(G158:G162)</f>
        <v>47950.51</v>
      </c>
      <c r="H163" s="151" t="n">
        <f aca="false">SUM(H158:H162)</f>
        <v>133104.88</v>
      </c>
      <c r="I163" s="151" t="n">
        <f aca="false">SUM(I158:I162)</f>
        <v>7727.97</v>
      </c>
      <c r="J163" s="151"/>
      <c r="K163" s="151" t="n">
        <f aca="false">SUM(K158:K162)</f>
        <v>0</v>
      </c>
      <c r="L163" s="151" t="n">
        <f aca="false">SUM(L158:L162)</f>
        <v>0</v>
      </c>
      <c r="M163" s="151" t="n">
        <f aca="false">SUM(M158:M162)</f>
        <v>0</v>
      </c>
      <c r="N163" s="151" t="n">
        <f aca="false">SUM(N158:N162)</f>
        <v>0</v>
      </c>
      <c r="O163" s="151" t="n">
        <f aca="false">SUM(O158:O162)</f>
        <v>0</v>
      </c>
      <c r="P163" s="151" t="n">
        <f aca="false">SUM(P158:P162)</f>
        <v>0</v>
      </c>
      <c r="Q163" s="151" t="n">
        <f aca="false">SUM(Q158:Q162)</f>
        <v>3440.47</v>
      </c>
      <c r="R163" s="151" t="n">
        <f aca="false">SUM(R158:R162)</f>
        <v>0</v>
      </c>
      <c r="S163" s="151" t="n">
        <f aca="false">SUM(S158:S162)</f>
        <v>0</v>
      </c>
      <c r="T163" s="151" t="n">
        <f aca="false">SUM(T158:T162)</f>
        <v>0</v>
      </c>
      <c r="U163" s="151" t="n">
        <f aca="false">SUM(U158:U162)</f>
        <v>144273.32</v>
      </c>
      <c r="V163" s="152" t="n">
        <f aca="false">SUM(V158:V162)</f>
        <v>1731279.84</v>
      </c>
      <c r="W163" s="117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/>
      <c r="AH163" s="153"/>
      <c r="AI163" s="153"/>
      <c r="AJ163" s="153"/>
      <c r="AK163" s="153"/>
      <c r="AL163" s="153"/>
      <c r="AM163" s="154"/>
      <c r="AN163" s="154"/>
      <c r="AO163" s="154"/>
      <c r="AP163" s="154"/>
      <c r="AQ163" s="154"/>
    </row>
    <row r="164" s="140" customFormat="true" ht="26.25" hidden="false" customHeight="true" outlineLevel="0" collapsed="false">
      <c r="A164" s="297" t="s">
        <v>191</v>
      </c>
      <c r="B164" s="297"/>
      <c r="C164" s="298" t="n">
        <f aca="false">C156+C163</f>
        <v>16</v>
      </c>
      <c r="D164" s="299"/>
      <c r="E164" s="300"/>
      <c r="F164" s="301"/>
      <c r="G164" s="302" t="n">
        <f aca="false">G156+G163</f>
        <v>72646.51</v>
      </c>
      <c r="H164" s="302" t="n">
        <f aca="false">H156+H163</f>
        <v>169325.88</v>
      </c>
      <c r="I164" s="302" t="n">
        <f aca="false">I156+I163</f>
        <v>7727.97</v>
      </c>
      <c r="J164" s="302"/>
      <c r="K164" s="302" t="n">
        <f aca="false">K156+K163</f>
        <v>0</v>
      </c>
      <c r="L164" s="302" t="n">
        <f aca="false">L156+L163</f>
        <v>0</v>
      </c>
      <c r="M164" s="302" t="n">
        <f aca="false">M156+M163</f>
        <v>0</v>
      </c>
      <c r="N164" s="302" t="n">
        <f aca="false">N156+N163</f>
        <v>0</v>
      </c>
      <c r="O164" s="302" t="n">
        <f aca="false">O156+O163</f>
        <v>0</v>
      </c>
      <c r="P164" s="302" t="n">
        <f aca="false">P156+P163</f>
        <v>0</v>
      </c>
      <c r="Q164" s="302" t="n">
        <f aca="false">Q156+Q163</f>
        <v>4209.97</v>
      </c>
      <c r="R164" s="302" t="n">
        <f aca="false">R156+R163</f>
        <v>0</v>
      </c>
      <c r="S164" s="302" t="n">
        <f aca="false">S156+S163</f>
        <v>0</v>
      </c>
      <c r="T164" s="302" t="n">
        <f aca="false">T156+T163</f>
        <v>0</v>
      </c>
      <c r="U164" s="302" t="n">
        <f aca="false">U156+U163</f>
        <v>181263.82</v>
      </c>
      <c r="V164" s="303" t="n">
        <f aca="false">V156+V163</f>
        <v>2175165.84</v>
      </c>
      <c r="W164" s="137" t="n">
        <f aca="false">V164*22%</f>
        <v>478536.4848</v>
      </c>
      <c r="X164" s="138"/>
      <c r="Y164" s="138"/>
      <c r="Z164" s="138"/>
      <c r="AA164" s="138"/>
      <c r="AB164" s="138"/>
      <c r="AC164" s="138"/>
      <c r="AD164" s="138"/>
      <c r="AE164" s="138"/>
      <c r="AF164" s="138"/>
      <c r="AG164" s="138"/>
      <c r="AH164" s="138"/>
      <c r="AI164" s="138"/>
      <c r="AJ164" s="138"/>
      <c r="AK164" s="138"/>
      <c r="AL164" s="138"/>
      <c r="AM164" s="139"/>
      <c r="AN164" s="139"/>
      <c r="AO164" s="139"/>
      <c r="AP164" s="139"/>
      <c r="AQ164" s="139"/>
    </row>
    <row r="165" s="155" customFormat="true" ht="16.5" hidden="false" customHeight="true" outlineLevel="0" collapsed="false">
      <c r="A165" s="304" t="s">
        <v>192</v>
      </c>
      <c r="B165" s="304"/>
      <c r="C165" s="304"/>
      <c r="D165" s="304"/>
      <c r="E165" s="304"/>
      <c r="F165" s="304"/>
      <c r="G165" s="304"/>
      <c r="H165" s="304"/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  <c r="S165" s="304"/>
      <c r="T165" s="304"/>
      <c r="U165" s="304"/>
      <c r="V165" s="304"/>
      <c r="W165" s="117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/>
      <c r="AH165" s="153"/>
      <c r="AI165" s="153"/>
      <c r="AJ165" s="153"/>
      <c r="AK165" s="153"/>
      <c r="AL165" s="153"/>
      <c r="AM165" s="154"/>
      <c r="AN165" s="154"/>
      <c r="AO165" s="154"/>
      <c r="AP165" s="154"/>
      <c r="AQ165" s="154"/>
    </row>
    <row r="166" s="66" customFormat="true" ht="15" hidden="false" customHeight="true" outlineLevel="0" collapsed="false">
      <c r="A166" s="305" t="n">
        <v>91</v>
      </c>
      <c r="B166" s="306" t="s">
        <v>149</v>
      </c>
      <c r="C166" s="58" t="n">
        <v>1</v>
      </c>
      <c r="D166" s="145" t="n">
        <v>2.4</v>
      </c>
      <c r="E166" s="60"/>
      <c r="F166" s="245"/>
      <c r="G166" s="62" t="n">
        <f aca="false">ROUND($AF$10*$AF$11*D166*$AF$12,0)</f>
        <v>13171</v>
      </c>
      <c r="H166" s="62" t="n">
        <f aca="false">C166*G166</f>
        <v>13171</v>
      </c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 t="n">
        <f aca="false">H166+I166+K166+L166+M166+N166+O166+P166+Q166+R166+S166</f>
        <v>13171</v>
      </c>
      <c r="V166" s="286" t="n">
        <f aca="false">(U166*$AK$20)</f>
        <v>158052</v>
      </c>
      <c r="W166" s="117"/>
      <c r="X166" s="64"/>
      <c r="Y166" s="64"/>
      <c r="Z166" s="64"/>
      <c r="AA166" s="64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  <c r="AL166" s="64"/>
      <c r="AM166" s="65"/>
      <c r="AN166" s="65"/>
      <c r="AO166" s="65"/>
      <c r="AP166" s="65"/>
      <c r="AQ166" s="65"/>
    </row>
    <row r="167" s="66" customFormat="true" ht="16.5" hidden="false" customHeight="false" outlineLevel="0" collapsed="false">
      <c r="A167" s="307" t="n">
        <v>92</v>
      </c>
      <c r="B167" s="308" t="s">
        <v>193</v>
      </c>
      <c r="C167" s="78" t="n">
        <v>0.5</v>
      </c>
      <c r="D167" s="81" t="n">
        <v>1.6</v>
      </c>
      <c r="E167" s="80"/>
      <c r="F167" s="246"/>
      <c r="G167" s="82" t="n">
        <f aca="false">ROUND($AF$10*$AF$11*D167*$AF$12,0)</f>
        <v>8781</v>
      </c>
      <c r="H167" s="82" t="n">
        <f aca="false">C167*G167</f>
        <v>4390.5</v>
      </c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 t="n">
        <f aca="false">H167+I167+K167+L167+M167+N167+O167+P167+Q167+R167+S167</f>
        <v>4390.5</v>
      </c>
      <c r="V167" s="286" t="n">
        <f aca="false">(U167*$AK$20)</f>
        <v>52686</v>
      </c>
      <c r="W167" s="117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  <c r="AL167" s="64"/>
      <c r="AM167" s="65"/>
      <c r="AN167" s="65"/>
      <c r="AO167" s="65"/>
      <c r="AP167" s="65"/>
      <c r="AQ167" s="65"/>
    </row>
    <row r="168" s="155" customFormat="true" ht="16.5" hidden="false" customHeight="true" outlineLevel="0" collapsed="false">
      <c r="A168" s="289" t="s">
        <v>194</v>
      </c>
      <c r="B168" s="289"/>
      <c r="C168" s="309" t="n">
        <f aca="false">SUM(C166:C167)</f>
        <v>1.5</v>
      </c>
      <c r="D168" s="149"/>
      <c r="E168" s="150"/>
      <c r="F168" s="277"/>
      <c r="G168" s="151" t="n">
        <f aca="false">SUM(G166:G167)</f>
        <v>21952</v>
      </c>
      <c r="H168" s="151" t="n">
        <f aca="false">SUM(H166:H167)</f>
        <v>17561.5</v>
      </c>
      <c r="I168" s="151" t="n">
        <f aca="false">SUM(I166:I167)</f>
        <v>0</v>
      </c>
      <c r="J168" s="151"/>
      <c r="K168" s="151" t="n">
        <f aca="false">SUM(K166:K167)</f>
        <v>0</v>
      </c>
      <c r="L168" s="151" t="n">
        <f aca="false">SUM(L166:L167)</f>
        <v>0</v>
      </c>
      <c r="M168" s="151" t="n">
        <f aca="false">SUM(M166:M167)</f>
        <v>0</v>
      </c>
      <c r="N168" s="151" t="n">
        <f aca="false">SUM(N166:N167)</f>
        <v>0</v>
      </c>
      <c r="O168" s="151" t="n">
        <f aca="false">SUM(O166:O167)</f>
        <v>0</v>
      </c>
      <c r="P168" s="151" t="n">
        <f aca="false">SUM(P166:P167)</f>
        <v>0</v>
      </c>
      <c r="Q168" s="151" t="n">
        <f aca="false">SUM(Q166:Q167)</f>
        <v>0</v>
      </c>
      <c r="R168" s="151" t="n">
        <f aca="false">SUM(R166:R167)</f>
        <v>0</v>
      </c>
      <c r="S168" s="151" t="n">
        <f aca="false">SUM(S166:S167)</f>
        <v>0</v>
      </c>
      <c r="T168" s="151" t="n">
        <f aca="false">SUM(T166:T167)</f>
        <v>0</v>
      </c>
      <c r="U168" s="151" t="n">
        <f aca="false">SUM(U166:U167)</f>
        <v>17561.5</v>
      </c>
      <c r="V168" s="152" t="n">
        <f aca="false">SUM(V166:V167)</f>
        <v>210738</v>
      </c>
      <c r="W168" s="117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/>
      <c r="AH168" s="153"/>
      <c r="AI168" s="153"/>
      <c r="AJ168" s="153"/>
      <c r="AK168" s="153"/>
      <c r="AL168" s="153"/>
      <c r="AM168" s="154"/>
      <c r="AN168" s="154"/>
      <c r="AO168" s="154"/>
      <c r="AP168" s="154"/>
      <c r="AQ168" s="154"/>
    </row>
    <row r="169" s="66" customFormat="true" ht="18.75" hidden="false" customHeight="true" outlineLevel="0" collapsed="false">
      <c r="A169" s="254" t="n">
        <v>93</v>
      </c>
      <c r="B169" s="255" t="s">
        <v>195</v>
      </c>
      <c r="C169" s="58" t="n">
        <v>2</v>
      </c>
      <c r="D169" s="145" t="s">
        <v>131</v>
      </c>
      <c r="E169" s="60" t="n">
        <f aca="false">$AB$19</f>
        <v>1.54</v>
      </c>
      <c r="F169" s="256" t="n">
        <f aca="false">ROUND(($AF$10*$AE$12*$AF$11*E169)/$AF$13,2)</f>
        <v>58.33</v>
      </c>
      <c r="G169" s="62" t="n">
        <f aca="false">ROUND(F169*$AH$13,2)</f>
        <v>9609.87</v>
      </c>
      <c r="H169" s="62" t="n">
        <f aca="false">C169*G169</f>
        <v>19219.74</v>
      </c>
      <c r="I169" s="62" t="n">
        <f aca="false">ROUND(H169*4%,2)</f>
        <v>768.79</v>
      </c>
      <c r="J169" s="62"/>
      <c r="K169" s="62"/>
      <c r="L169" s="62"/>
      <c r="M169" s="62"/>
      <c r="N169" s="62"/>
      <c r="O169" s="62"/>
      <c r="P169" s="62"/>
      <c r="Q169" s="62" t="n">
        <f aca="false">ROUND((F169*5.5)*C169,2)</f>
        <v>641.63</v>
      </c>
      <c r="R169" s="62"/>
      <c r="S169" s="62"/>
      <c r="T169" s="62"/>
      <c r="U169" s="62" t="n">
        <f aca="false">H169+I169+K169+L169+M169+N169+O169+P169+Q169+R169+S169</f>
        <v>20630.16</v>
      </c>
      <c r="V169" s="286" t="n">
        <f aca="false">(U169*$AK$20)</f>
        <v>247561.92</v>
      </c>
      <c r="W169" s="117"/>
      <c r="X169" s="146"/>
      <c r="Y169" s="64"/>
      <c r="Z169" s="64"/>
      <c r="AA169" s="64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  <c r="AL169" s="64"/>
      <c r="AM169" s="65"/>
      <c r="AN169" s="65"/>
      <c r="AO169" s="65"/>
      <c r="AP169" s="65"/>
      <c r="AQ169" s="65"/>
    </row>
    <row r="170" s="66" customFormat="true" ht="18.75" hidden="false" customHeight="true" outlineLevel="0" collapsed="false">
      <c r="A170" s="257" t="n">
        <v>94</v>
      </c>
      <c r="B170" s="258" t="s">
        <v>195</v>
      </c>
      <c r="C170" s="67" t="n">
        <v>2</v>
      </c>
      <c r="D170" s="14" t="s">
        <v>196</v>
      </c>
      <c r="E170" s="69" t="n">
        <f aca="false">$AC$19</f>
        <v>1.8</v>
      </c>
      <c r="F170" s="259" t="n">
        <f aca="false">ROUND(($AF$10*$AE$12*$AF$11*E170)/$AF$13,2)</f>
        <v>68.18</v>
      </c>
      <c r="G170" s="71" t="n">
        <f aca="false">ROUND(F170*$AH$13,2)</f>
        <v>11232.66</v>
      </c>
      <c r="H170" s="71" t="n">
        <f aca="false">C170*G170</f>
        <v>22465.32</v>
      </c>
      <c r="I170" s="71" t="n">
        <f aca="false">ROUND(H170*4%,2)</f>
        <v>898.61</v>
      </c>
      <c r="J170" s="71"/>
      <c r="K170" s="71"/>
      <c r="L170" s="71"/>
      <c r="M170" s="71"/>
      <c r="N170" s="71"/>
      <c r="O170" s="71"/>
      <c r="P170" s="71"/>
      <c r="Q170" s="71" t="n">
        <f aca="false">ROUND((F170*5.5)*C170,2)</f>
        <v>749.98</v>
      </c>
      <c r="R170" s="71"/>
      <c r="S170" s="71"/>
      <c r="T170" s="71"/>
      <c r="U170" s="71" t="n">
        <f aca="false">H170+I170+K170+L170+M170+N170+O170+P170+Q170+R170+S170</f>
        <v>24113.91</v>
      </c>
      <c r="V170" s="286" t="n">
        <f aca="false">(U170*$AK$20)</f>
        <v>289366.92</v>
      </c>
      <c r="W170" s="117"/>
      <c r="X170" s="64"/>
      <c r="Y170" s="64"/>
      <c r="Z170" s="64"/>
      <c r="AA170" s="64"/>
      <c r="AB170" s="64"/>
      <c r="AC170" s="64"/>
      <c r="AD170" s="64"/>
      <c r="AE170" s="64"/>
      <c r="AF170" s="64"/>
      <c r="AG170" s="64"/>
      <c r="AH170" s="64"/>
      <c r="AI170" s="64"/>
      <c r="AJ170" s="64"/>
      <c r="AK170" s="64"/>
      <c r="AL170" s="64"/>
      <c r="AM170" s="65"/>
      <c r="AN170" s="65"/>
      <c r="AO170" s="65"/>
      <c r="AP170" s="65"/>
      <c r="AQ170" s="65"/>
    </row>
    <row r="171" s="66" customFormat="true" ht="18.75" hidden="false" customHeight="true" outlineLevel="0" collapsed="false">
      <c r="A171" s="257" t="n">
        <v>95</v>
      </c>
      <c r="B171" s="258" t="s">
        <v>197</v>
      </c>
      <c r="C171" s="67" t="n">
        <v>2</v>
      </c>
      <c r="D171" s="14" t="s">
        <v>131</v>
      </c>
      <c r="E171" s="69" t="n">
        <f aca="false">$AB$19</f>
        <v>1.54</v>
      </c>
      <c r="F171" s="259" t="n">
        <f aca="false">ROUND(($AF$10*$AE$12*$AF$11*E171)/$AF$13,2)</f>
        <v>58.33</v>
      </c>
      <c r="G171" s="71" t="n">
        <f aca="false">ROUND(F171*$AH$13,2)</f>
        <v>9609.87</v>
      </c>
      <c r="H171" s="71" t="n">
        <f aca="false">C171*G171</f>
        <v>19219.74</v>
      </c>
      <c r="I171" s="71" t="n">
        <f aca="false">ROUND(H171*8%,2)</f>
        <v>1537.58</v>
      </c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 t="n">
        <f aca="false">H171+I171+K171+L171+M171+N171+O171+P171+Q171+R171+S171</f>
        <v>20757.32</v>
      </c>
      <c r="V171" s="286" t="n">
        <f aca="false">(U171*$AK$20)</f>
        <v>249087.84</v>
      </c>
      <c r="W171" s="117"/>
      <c r="X171" s="64"/>
      <c r="Y171" s="64"/>
      <c r="Z171" s="64"/>
      <c r="AA171" s="64"/>
      <c r="AB171" s="64"/>
      <c r="AC171" s="64"/>
      <c r="AD171" s="64"/>
      <c r="AE171" s="64"/>
      <c r="AF171" s="64"/>
      <c r="AG171" s="64"/>
      <c r="AH171" s="64"/>
      <c r="AI171" s="64"/>
      <c r="AJ171" s="64"/>
      <c r="AK171" s="64"/>
      <c r="AL171" s="64"/>
      <c r="AM171" s="65"/>
      <c r="AN171" s="65"/>
      <c r="AO171" s="65"/>
      <c r="AP171" s="65"/>
      <c r="AQ171" s="65"/>
    </row>
    <row r="172" s="66" customFormat="true" ht="18.75" hidden="false" customHeight="true" outlineLevel="0" collapsed="false">
      <c r="A172" s="257" t="n">
        <v>96</v>
      </c>
      <c r="B172" s="258" t="s">
        <v>198</v>
      </c>
      <c r="C172" s="67" t="n">
        <v>1</v>
      </c>
      <c r="D172" s="14" t="n">
        <v>1.92</v>
      </c>
      <c r="E172" s="69"/>
      <c r="F172" s="259" t="n">
        <f aca="false">ROUND(($AF$10*$AE$12*D172)/$AF$13,2)</f>
        <v>46.03</v>
      </c>
      <c r="G172" s="71" t="n">
        <f aca="false">ROUND(F172*$AH$13,2)</f>
        <v>7583.44</v>
      </c>
      <c r="H172" s="71" t="n">
        <f aca="false">C172*G172</f>
        <v>7583.44</v>
      </c>
      <c r="I172" s="71" t="n">
        <f aca="false">ROUND(H172*4%,2)</f>
        <v>303.34</v>
      </c>
      <c r="J172" s="71"/>
      <c r="K172" s="71"/>
      <c r="L172" s="71" t="n">
        <f aca="false">ROUND(H172*25%,2)</f>
        <v>1895.86</v>
      </c>
      <c r="M172" s="71"/>
      <c r="N172" s="71"/>
      <c r="O172" s="71"/>
      <c r="P172" s="71"/>
      <c r="Q172" s="71"/>
      <c r="R172" s="71"/>
      <c r="S172" s="71"/>
      <c r="T172" s="71"/>
      <c r="U172" s="71" t="n">
        <f aca="false">H172+I172+K172+L172+M172+N172+O172+P172+Q172+R172+S172</f>
        <v>9782.64</v>
      </c>
      <c r="V172" s="286" t="n">
        <f aca="false">(U172*$AK$20)</f>
        <v>117391.68</v>
      </c>
      <c r="W172" s="117"/>
      <c r="X172" s="64"/>
      <c r="Y172" s="64"/>
      <c r="Z172" s="64"/>
      <c r="AA172" s="64"/>
      <c r="AB172" s="64"/>
      <c r="AC172" s="64"/>
      <c r="AD172" s="64"/>
      <c r="AE172" s="64"/>
      <c r="AF172" s="64"/>
      <c r="AG172" s="64"/>
      <c r="AH172" s="64"/>
      <c r="AI172" s="64"/>
      <c r="AJ172" s="64"/>
      <c r="AK172" s="64"/>
      <c r="AL172" s="64"/>
      <c r="AM172" s="65"/>
      <c r="AN172" s="65"/>
      <c r="AO172" s="65"/>
      <c r="AP172" s="65"/>
      <c r="AQ172" s="65"/>
    </row>
    <row r="173" s="66" customFormat="true" ht="18.75" hidden="false" customHeight="true" outlineLevel="0" collapsed="false">
      <c r="A173" s="257" t="n">
        <v>97</v>
      </c>
      <c r="B173" s="258" t="s">
        <v>199</v>
      </c>
      <c r="C173" s="67" t="n">
        <v>6</v>
      </c>
      <c r="D173" s="14" t="n">
        <v>2.22</v>
      </c>
      <c r="E173" s="69"/>
      <c r="F173" s="259" t="n">
        <f aca="false">ROUND(($AF$10*$AE$12*D173)/$AF$13,2)</f>
        <v>53.22</v>
      </c>
      <c r="G173" s="71" t="n">
        <f aca="false">ROUND(F173*$AH$13,2)</f>
        <v>8768</v>
      </c>
      <c r="H173" s="71" t="n">
        <f aca="false">C173*G173</f>
        <v>52608</v>
      </c>
      <c r="I173" s="71" t="n">
        <f aca="false">ROUND(H173*4%,2)</f>
        <v>2104.32</v>
      </c>
      <c r="J173" s="71"/>
      <c r="K173" s="71"/>
      <c r="L173" s="71" t="n">
        <f aca="false">ROUND(H173*25%,2)</f>
        <v>13152</v>
      </c>
      <c r="M173" s="71"/>
      <c r="N173" s="71"/>
      <c r="O173" s="71"/>
      <c r="P173" s="71" t="n">
        <f aca="false">ROUND(((F173*53.23)*35%)*4,2)</f>
        <v>3966.06</v>
      </c>
      <c r="Q173" s="71" t="n">
        <f aca="false">ROUND((F173*5.5)*C173,2)</f>
        <v>1756.26</v>
      </c>
      <c r="R173" s="71"/>
      <c r="S173" s="71"/>
      <c r="T173" s="71"/>
      <c r="U173" s="71" t="n">
        <f aca="false">H173+I173+K173+L173+M173+N173+O173+P173+Q173+R173+S173</f>
        <v>73586.64</v>
      </c>
      <c r="V173" s="286" t="n">
        <f aca="false">(U173*$AK$20)</f>
        <v>883039.68</v>
      </c>
      <c r="W173" s="117"/>
      <c r="X173" s="64"/>
      <c r="Y173" s="64"/>
      <c r="Z173" s="64"/>
      <c r="AA173" s="64"/>
      <c r="AB173" s="64"/>
      <c r="AC173" s="64"/>
      <c r="AD173" s="64"/>
      <c r="AE173" s="64"/>
      <c r="AF173" s="64"/>
      <c r="AG173" s="64"/>
      <c r="AH173" s="64"/>
      <c r="AI173" s="64"/>
      <c r="AJ173" s="64"/>
      <c r="AK173" s="64"/>
      <c r="AL173" s="64"/>
      <c r="AM173" s="65"/>
      <c r="AN173" s="65"/>
      <c r="AO173" s="65"/>
      <c r="AP173" s="65"/>
      <c r="AQ173" s="65"/>
    </row>
    <row r="174" s="66" customFormat="true" ht="18.75" hidden="false" customHeight="true" outlineLevel="0" collapsed="false">
      <c r="A174" s="257" t="n">
        <v>98</v>
      </c>
      <c r="B174" s="258" t="s">
        <v>200</v>
      </c>
      <c r="C174" s="67" t="n">
        <v>2</v>
      </c>
      <c r="D174" s="14" t="n">
        <v>2.43</v>
      </c>
      <c r="E174" s="69"/>
      <c r="F174" s="259" t="n">
        <f aca="false">ROUND(($AF$10*$AE$12*D174)/$AF$13,2)</f>
        <v>58.26</v>
      </c>
      <c r="G174" s="71" t="n">
        <f aca="false">ROUND(F174*$AH$13,2)</f>
        <v>9598.34</v>
      </c>
      <c r="H174" s="71" t="n">
        <f aca="false">C174*G174</f>
        <v>19196.68</v>
      </c>
      <c r="I174" s="71" t="n">
        <f aca="false">ROUND(H174*4%,2)</f>
        <v>767.87</v>
      </c>
      <c r="J174" s="71"/>
      <c r="K174" s="71"/>
      <c r="L174" s="71" t="n">
        <f aca="false">ROUND(H174*25%,2)</f>
        <v>4799.17</v>
      </c>
      <c r="M174" s="71"/>
      <c r="N174" s="71"/>
      <c r="O174" s="71"/>
      <c r="P174" s="71" t="n">
        <f aca="false">ROUND(((F174*53.23)*35%)*C174,2)</f>
        <v>2170.83</v>
      </c>
      <c r="Q174" s="71" t="n">
        <f aca="false">ROUND((F174*5.5)*C174,2)</f>
        <v>640.86</v>
      </c>
      <c r="R174" s="71"/>
      <c r="S174" s="71"/>
      <c r="T174" s="71"/>
      <c r="U174" s="71" t="n">
        <f aca="false">H174+I174+K174+L174+M174+N174+O174+P174+Q174+R174+S174</f>
        <v>27575.41</v>
      </c>
      <c r="V174" s="286" t="n">
        <f aca="false">(U174*$AK$20)</f>
        <v>330904.92</v>
      </c>
      <c r="W174" s="117"/>
      <c r="X174" s="64"/>
      <c r="Y174" s="64"/>
      <c r="Z174" s="64"/>
      <c r="AA174" s="64"/>
      <c r="AB174" s="64"/>
      <c r="AC174" s="64"/>
      <c r="AD174" s="64"/>
      <c r="AE174" s="64"/>
      <c r="AF174" s="64"/>
      <c r="AG174" s="64"/>
      <c r="AH174" s="64"/>
      <c r="AI174" s="64"/>
      <c r="AJ174" s="64"/>
      <c r="AK174" s="64"/>
      <c r="AL174" s="64"/>
      <c r="AM174" s="65"/>
      <c r="AN174" s="65"/>
      <c r="AO174" s="65"/>
      <c r="AP174" s="65"/>
      <c r="AQ174" s="65"/>
    </row>
    <row r="175" s="66" customFormat="true" ht="18.75" hidden="false" customHeight="true" outlineLevel="0" collapsed="false">
      <c r="A175" s="257" t="n">
        <v>99</v>
      </c>
      <c r="B175" s="258" t="s">
        <v>201</v>
      </c>
      <c r="C175" s="67" t="n">
        <v>1</v>
      </c>
      <c r="D175" s="14" t="n">
        <v>1.3</v>
      </c>
      <c r="E175" s="69"/>
      <c r="F175" s="310"/>
      <c r="G175" s="71" t="n">
        <f aca="false">ROUND($AF$10*$AF$11*D175*$AF$12,0)</f>
        <v>7134</v>
      </c>
      <c r="H175" s="71" t="n">
        <f aca="false">C175*G175</f>
        <v>7134</v>
      </c>
      <c r="I175" s="71" t="n">
        <f aca="false">ROUND(H175*4%,2)</f>
        <v>285.36</v>
      </c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 t="n">
        <f aca="false">H175+I175+K175+L175+M175+N175+O175+P175+Q175+R175+S175</f>
        <v>7419.36</v>
      </c>
      <c r="V175" s="286" t="n">
        <f aca="false">(U175*$AK$20)</f>
        <v>89032.32</v>
      </c>
      <c r="W175" s="117"/>
      <c r="X175" s="146"/>
      <c r="Y175" s="64"/>
      <c r="Z175" s="64"/>
      <c r="AA175" s="64"/>
      <c r="AB175" s="64"/>
      <c r="AC175" s="64"/>
      <c r="AD175" s="64"/>
      <c r="AE175" s="64"/>
      <c r="AF175" s="64"/>
      <c r="AG175" s="64"/>
      <c r="AH175" s="64"/>
      <c r="AI175" s="64"/>
      <c r="AJ175" s="64"/>
      <c r="AK175" s="64"/>
      <c r="AL175" s="64"/>
      <c r="AM175" s="65"/>
      <c r="AN175" s="65"/>
      <c r="AO175" s="65"/>
      <c r="AP175" s="65"/>
      <c r="AQ175" s="65"/>
    </row>
    <row r="176" s="66" customFormat="true" ht="18.75" hidden="false" customHeight="true" outlineLevel="0" collapsed="false">
      <c r="A176" s="260" t="n">
        <v>100</v>
      </c>
      <c r="B176" s="264" t="s">
        <v>170</v>
      </c>
      <c r="C176" s="78" t="n">
        <v>1</v>
      </c>
      <c r="D176" s="81" t="n">
        <v>1.3</v>
      </c>
      <c r="E176" s="80"/>
      <c r="F176" s="246"/>
      <c r="G176" s="82" t="n">
        <f aca="false">ROUND($AF$10*$AF$11*D176*$AF$12,0)</f>
        <v>7134</v>
      </c>
      <c r="H176" s="82" t="n">
        <f aca="false">C176*G176</f>
        <v>7134</v>
      </c>
      <c r="I176" s="82" t="n">
        <f aca="false">ROUND(H176*4%,2)</f>
        <v>285.36</v>
      </c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 t="n">
        <f aca="false">H176+I176+K176+L176+M176+N176+O176+P176+Q176+R176+S176</f>
        <v>7419.36</v>
      </c>
      <c r="V176" s="286" t="n">
        <f aca="false">(U176*$AK$20)</f>
        <v>89032.32</v>
      </c>
      <c r="W176" s="117"/>
      <c r="X176" s="64"/>
      <c r="Y176" s="64"/>
      <c r="Z176" s="64"/>
      <c r="AA176" s="64"/>
      <c r="AB176" s="64"/>
      <c r="AC176" s="64"/>
      <c r="AD176" s="64"/>
      <c r="AE176" s="64"/>
      <c r="AF176" s="64"/>
      <c r="AG176" s="64"/>
      <c r="AH176" s="64"/>
      <c r="AI176" s="64"/>
      <c r="AJ176" s="64"/>
      <c r="AK176" s="64"/>
      <c r="AL176" s="64"/>
      <c r="AM176" s="65"/>
      <c r="AN176" s="65"/>
      <c r="AO176" s="65"/>
      <c r="AP176" s="65"/>
      <c r="AQ176" s="65"/>
    </row>
    <row r="177" s="155" customFormat="true" ht="26.25" hidden="false" customHeight="true" outlineLevel="0" collapsed="false">
      <c r="A177" s="289" t="s">
        <v>202</v>
      </c>
      <c r="B177" s="289"/>
      <c r="C177" s="309" t="n">
        <f aca="false">SUM(C169:C176)</f>
        <v>17</v>
      </c>
      <c r="D177" s="149"/>
      <c r="E177" s="150"/>
      <c r="F177" s="277"/>
      <c r="G177" s="151" t="n">
        <f aca="false">SUM(G169:G176)</f>
        <v>70670.18</v>
      </c>
      <c r="H177" s="151" t="n">
        <f aca="false">SUM(H169:H176)</f>
        <v>154560.92</v>
      </c>
      <c r="I177" s="151" t="n">
        <f aca="false">SUM(I169:I176)</f>
        <v>6951.23</v>
      </c>
      <c r="J177" s="151"/>
      <c r="K177" s="151" t="n">
        <f aca="false">SUM(K169:K176)</f>
        <v>0</v>
      </c>
      <c r="L177" s="151" t="n">
        <f aca="false">SUM(L169:L176)</f>
        <v>19847.03</v>
      </c>
      <c r="M177" s="151" t="n">
        <f aca="false">SUM(M169:M176)</f>
        <v>0</v>
      </c>
      <c r="N177" s="151" t="n">
        <f aca="false">SUM(N169:N176)</f>
        <v>0</v>
      </c>
      <c r="O177" s="151" t="n">
        <f aca="false">SUM(O169:O176)</f>
        <v>0</v>
      </c>
      <c r="P177" s="151" t="n">
        <f aca="false">SUM(P169:P176)</f>
        <v>6136.89</v>
      </c>
      <c r="Q177" s="151" t="n">
        <f aca="false">SUM(Q169:Q176)</f>
        <v>3788.73</v>
      </c>
      <c r="R177" s="151" t="n">
        <f aca="false">SUM(R169:R176)</f>
        <v>0</v>
      </c>
      <c r="S177" s="151" t="n">
        <f aca="false">SUM(S169:S176)</f>
        <v>0</v>
      </c>
      <c r="T177" s="151" t="n">
        <f aca="false">SUM(T169:T176)</f>
        <v>0</v>
      </c>
      <c r="U177" s="151" t="n">
        <f aca="false">SUM(U169:U176)</f>
        <v>191284.8</v>
      </c>
      <c r="V177" s="152" t="n">
        <f aca="false">SUM(V169:V176)</f>
        <v>2295417.6</v>
      </c>
      <c r="W177" s="117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/>
      <c r="AH177" s="153"/>
      <c r="AI177" s="153"/>
      <c r="AJ177" s="153"/>
      <c r="AK177" s="153"/>
      <c r="AL177" s="153"/>
      <c r="AM177" s="154"/>
      <c r="AN177" s="154"/>
      <c r="AO177" s="154"/>
      <c r="AP177" s="154"/>
      <c r="AQ177" s="154"/>
    </row>
    <row r="178" s="104" customFormat="true" ht="22.5" hidden="false" customHeight="true" outlineLevel="0" collapsed="false">
      <c r="A178" s="311" t="s">
        <v>203</v>
      </c>
      <c r="B178" s="311"/>
      <c r="C178" s="312" t="n">
        <f aca="false">C168+C177</f>
        <v>18.5</v>
      </c>
      <c r="D178" s="313"/>
      <c r="E178" s="281"/>
      <c r="F178" s="314"/>
      <c r="G178" s="315" t="n">
        <f aca="false">G168+G177</f>
        <v>92622.18</v>
      </c>
      <c r="H178" s="315" t="n">
        <f aca="false">H168+H177</f>
        <v>172122.42</v>
      </c>
      <c r="I178" s="315" t="n">
        <f aca="false">I168+I177</f>
        <v>6951.23</v>
      </c>
      <c r="J178" s="315" t="n">
        <f aca="false">J168+J177</f>
        <v>0</v>
      </c>
      <c r="K178" s="315" t="n">
        <f aca="false">K168+K177</f>
        <v>0</v>
      </c>
      <c r="L178" s="315" t="n">
        <f aca="false">L168+L177</f>
        <v>19847.03</v>
      </c>
      <c r="M178" s="315" t="n">
        <f aca="false">M168+M177</f>
        <v>0</v>
      </c>
      <c r="N178" s="315" t="n">
        <f aca="false">N168+N177</f>
        <v>0</v>
      </c>
      <c r="O178" s="315" t="n">
        <f aca="false">O168+O177</f>
        <v>0</v>
      </c>
      <c r="P178" s="315" t="n">
        <f aca="false">P168+P177</f>
        <v>6136.89</v>
      </c>
      <c r="Q178" s="315" t="n">
        <f aca="false">Q168+Q177</f>
        <v>3788.73</v>
      </c>
      <c r="R178" s="315" t="n">
        <f aca="false">R168+R177</f>
        <v>0</v>
      </c>
      <c r="S178" s="315" t="n">
        <f aca="false">S168+S177</f>
        <v>0</v>
      </c>
      <c r="T178" s="315" t="n">
        <f aca="false">T168+T177</f>
        <v>0</v>
      </c>
      <c r="U178" s="315" t="n">
        <f aca="false">U168+U177</f>
        <v>208846.3</v>
      </c>
      <c r="V178" s="316" t="n">
        <f aca="false">V168+V177</f>
        <v>2506155.6</v>
      </c>
      <c r="W178" s="123" t="n">
        <f aca="false">V178*22%</f>
        <v>551354.232</v>
      </c>
      <c r="X178" s="102"/>
      <c r="Y178" s="102"/>
      <c r="Z178" s="102"/>
      <c r="AA178" s="102"/>
      <c r="AB178" s="102"/>
      <c r="AC178" s="102"/>
      <c r="AD178" s="102"/>
      <c r="AE178" s="102"/>
      <c r="AF178" s="102"/>
      <c r="AG178" s="102"/>
      <c r="AH178" s="102"/>
      <c r="AI178" s="102"/>
      <c r="AJ178" s="102"/>
      <c r="AK178" s="102"/>
      <c r="AL178" s="102"/>
      <c r="AM178" s="103"/>
      <c r="AN178" s="103"/>
      <c r="AO178" s="103"/>
      <c r="AP178" s="103"/>
      <c r="AQ178" s="103"/>
    </row>
    <row r="179" s="104" customFormat="true" ht="21.75" hidden="false" customHeight="true" outlineLevel="0" collapsed="false">
      <c r="A179" s="317" t="s">
        <v>204</v>
      </c>
      <c r="B179" s="317"/>
      <c r="C179" s="318" t="n">
        <f aca="false">SUM(C35,C41,C100,C108,C150,C156,C168)</f>
        <v>52</v>
      </c>
      <c r="D179" s="318"/>
      <c r="E179" s="318"/>
      <c r="F179" s="319"/>
      <c r="G179" s="320" t="n">
        <f aca="false">SUM(G35,G41,G100,G108,G150,G156,G168)</f>
        <v>538850</v>
      </c>
      <c r="H179" s="320" t="n">
        <f aca="false">SUM(H35,H41,H100,H108,H150,H156,H168)</f>
        <v>594142.5</v>
      </c>
      <c r="I179" s="320" t="n">
        <f aca="false">SUM(I35,I41,I100,I108,I150,I156,I168)</f>
        <v>0</v>
      </c>
      <c r="J179" s="320" t="n">
        <f aca="false">SUM(J35,J41,J100,J108,J150,J156,J168)</f>
        <v>0</v>
      </c>
      <c r="K179" s="320" t="n">
        <f aca="false">SUM(K35,K41,K100,K108,K150,K156,K168)</f>
        <v>0</v>
      </c>
      <c r="L179" s="320" t="n">
        <f aca="false">SUM(L35,L41,L100,L108,L150,L156,L168)</f>
        <v>0</v>
      </c>
      <c r="M179" s="320" t="n">
        <f aca="false">SUM(M35,M41,M100,M108,M150,M156,M168)</f>
        <v>0</v>
      </c>
      <c r="N179" s="320" t="n">
        <f aca="false">SUM(N35,N41,N100,N108,N150,N156,N168)</f>
        <v>0</v>
      </c>
      <c r="O179" s="320" t="n">
        <f aca="false">SUM(O35,O41,O100,O108,O150,O156,O168)</f>
        <v>0</v>
      </c>
      <c r="P179" s="320" t="n">
        <f aca="false">SUM(P35,P41,P100,P108,P150,P156,P168)</f>
        <v>4034.03</v>
      </c>
      <c r="Q179" s="320" t="n">
        <f aca="false">SUM(Q35,Q41,Q100,Q108,Q150,Q156,Q168)</f>
        <v>4195.58</v>
      </c>
      <c r="R179" s="320" t="n">
        <f aca="false">SUM(R35,R41,R100,R108,R150,R156,R168)</f>
        <v>0</v>
      </c>
      <c r="S179" s="320" t="n">
        <f aca="false">SUM(S35,S41,S100,S108,S150,S156,S168)</f>
        <v>0</v>
      </c>
      <c r="T179" s="320" t="n">
        <f aca="false">SUM(T35,T41,T100,T108,T150,T156,T168)</f>
        <v>0</v>
      </c>
      <c r="U179" s="320" t="n">
        <f aca="false">SUM(U35,U41,U100,U108,U150,U156,U168)</f>
        <v>602372.11</v>
      </c>
      <c r="V179" s="321" t="n">
        <f aca="false">SUM(V35,V41,V100,V108,V150,V156,V168)</f>
        <v>7228465.32</v>
      </c>
      <c r="W179" s="322"/>
      <c r="X179" s="102"/>
      <c r="Y179" s="102"/>
      <c r="Z179" s="102"/>
      <c r="AA179" s="102"/>
      <c r="AB179" s="102"/>
      <c r="AC179" s="102"/>
      <c r="AD179" s="102"/>
      <c r="AE179" s="102"/>
      <c r="AF179" s="102"/>
      <c r="AG179" s="102"/>
      <c r="AH179" s="102"/>
      <c r="AI179" s="102"/>
      <c r="AJ179" s="102"/>
      <c r="AK179" s="102"/>
      <c r="AL179" s="102"/>
      <c r="AM179" s="103"/>
      <c r="AN179" s="103"/>
      <c r="AO179" s="103"/>
      <c r="AP179" s="103"/>
      <c r="AQ179" s="103"/>
    </row>
    <row r="180" s="104" customFormat="true" ht="31.5" hidden="false" customHeight="true" outlineLevel="0" collapsed="false">
      <c r="A180" s="323" t="s">
        <v>205</v>
      </c>
      <c r="B180" s="323"/>
      <c r="C180" s="324" t="n">
        <f aca="false">SUM(C47,C101,C125,C151,C163,C177)</f>
        <v>151</v>
      </c>
      <c r="D180" s="324"/>
      <c r="E180" s="324"/>
      <c r="F180" s="325"/>
      <c r="G180" s="326" t="n">
        <f aca="false">SUM(G47,G101,G125,G151,G163,G177)</f>
        <v>439518.52</v>
      </c>
      <c r="H180" s="326" t="n">
        <f aca="false">SUM(H47,H101,H125,H151,H163,H177)</f>
        <v>1240179.92</v>
      </c>
      <c r="I180" s="326" t="n">
        <f aca="false">SUM(I47,I101,I125,I151,I163,I177)</f>
        <v>53830.14</v>
      </c>
      <c r="J180" s="326" t="n">
        <f aca="false">SUM(J47,J101,J125,J151,J163,J177)</f>
        <v>0</v>
      </c>
      <c r="K180" s="326" t="n">
        <f aca="false">SUM(K47,K101,K125,K151,K163,K177)</f>
        <v>0</v>
      </c>
      <c r="L180" s="326" t="n">
        <f aca="false">SUM(L47,L101,L125,L151,L163,L177)</f>
        <v>19847.03</v>
      </c>
      <c r="M180" s="326" t="n">
        <f aca="false">SUM(M47,M101,M125,M151,M163,M177)</f>
        <v>0</v>
      </c>
      <c r="N180" s="326" t="n">
        <f aca="false">SUM(N47,N101,N125,N151,N163,N177)</f>
        <v>0</v>
      </c>
      <c r="O180" s="326" t="n">
        <f aca="false">SUM(O47,O101,O125,O151,O163,O177)</f>
        <v>0</v>
      </c>
      <c r="P180" s="326" t="n">
        <f aca="false">SUM(P47,P101,P125,P151,P163,P177)</f>
        <v>61227.47</v>
      </c>
      <c r="Q180" s="326" t="n">
        <f aca="false">SUM(Q47,Q101,Q125,Q151,Q163,Q177)</f>
        <v>28658.12</v>
      </c>
      <c r="R180" s="326" t="n">
        <f aca="false">SUM(R47,R101,R125,R151,R163,R177)</f>
        <v>0</v>
      </c>
      <c r="S180" s="326" t="n">
        <f aca="false">SUM(S47,S101,S125,S151,S163,S177)</f>
        <v>0</v>
      </c>
      <c r="T180" s="326" t="n">
        <f aca="false">SUM(T47,T101,T125,T151,T163,T177)</f>
        <v>0</v>
      </c>
      <c r="U180" s="326" t="n">
        <f aca="false">SUM(U47,U101,U125,U151,U163,U177)</f>
        <v>1403741.68</v>
      </c>
      <c r="V180" s="327" t="n">
        <f aca="false">SUM(V47,V101,V125,V151,V163,V177)</f>
        <v>16844900.16</v>
      </c>
      <c r="W180" s="123"/>
      <c r="X180" s="102"/>
      <c r="Y180" s="102"/>
      <c r="Z180" s="102"/>
      <c r="AA180" s="102"/>
      <c r="AB180" s="102"/>
      <c r="AC180" s="102"/>
      <c r="AD180" s="102"/>
      <c r="AE180" s="102"/>
      <c r="AF180" s="102"/>
      <c r="AG180" s="102"/>
      <c r="AH180" s="102"/>
      <c r="AI180" s="102"/>
      <c r="AJ180" s="102"/>
      <c r="AK180" s="102"/>
      <c r="AL180" s="102"/>
      <c r="AM180" s="103"/>
      <c r="AN180" s="103"/>
      <c r="AO180" s="103"/>
      <c r="AP180" s="103"/>
      <c r="AQ180" s="103"/>
    </row>
    <row r="181" s="104" customFormat="true" ht="18" hidden="false" customHeight="true" outlineLevel="0" collapsed="false">
      <c r="A181" s="323" t="s">
        <v>206</v>
      </c>
      <c r="B181" s="323"/>
      <c r="C181" s="324" t="n">
        <f aca="false">SUM(C179:C180)</f>
        <v>203</v>
      </c>
      <c r="D181" s="324"/>
      <c r="E181" s="324"/>
      <c r="F181" s="325"/>
      <c r="G181" s="326" t="n">
        <f aca="false">SUM(G179:G180)</f>
        <v>978368.52</v>
      </c>
      <c r="H181" s="326" t="n">
        <f aca="false">SUM(H179:H180)</f>
        <v>1834322.42</v>
      </c>
      <c r="I181" s="326" t="n">
        <f aca="false">SUM(I179:I180)</f>
        <v>53830.14</v>
      </c>
      <c r="J181" s="326" t="n">
        <f aca="false">SUM(J179:J180)</f>
        <v>0</v>
      </c>
      <c r="K181" s="326" t="n">
        <f aca="false">SUM(K179:K180)</f>
        <v>0</v>
      </c>
      <c r="L181" s="326" t="n">
        <f aca="false">SUM(L179:L180)</f>
        <v>19847.03</v>
      </c>
      <c r="M181" s="326" t="n">
        <f aca="false">SUM(M179:M180)</f>
        <v>0</v>
      </c>
      <c r="N181" s="326" t="n">
        <f aca="false">SUM(N179:N180)</f>
        <v>0</v>
      </c>
      <c r="O181" s="326" t="n">
        <f aca="false">SUM(O179:O180)</f>
        <v>0</v>
      </c>
      <c r="P181" s="326" t="n">
        <f aca="false">SUM(P179:P180)</f>
        <v>65261.5</v>
      </c>
      <c r="Q181" s="326" t="n">
        <f aca="false">SUM(Q179:Q180)</f>
        <v>32853.7</v>
      </c>
      <c r="R181" s="326" t="n">
        <f aca="false">SUM(R179:R180)</f>
        <v>0</v>
      </c>
      <c r="S181" s="326" t="n">
        <f aca="false">SUM(S179:S180)</f>
        <v>0</v>
      </c>
      <c r="T181" s="326" t="n">
        <f aca="false">SUM(T179:T180)</f>
        <v>0</v>
      </c>
      <c r="U181" s="326" t="n">
        <f aca="false">SUM(U179:U180)</f>
        <v>2006113.79</v>
      </c>
      <c r="V181" s="327" t="n">
        <f aca="false">SUM(V179:V180)</f>
        <v>24073365.48</v>
      </c>
      <c r="W181" s="322" t="n">
        <f aca="false">W35+W48+W102+W126+W152+W81+W178+W164</f>
        <v>5179927.79002286</v>
      </c>
      <c r="X181" s="102"/>
      <c r="Y181" s="102"/>
      <c r="Z181" s="102"/>
      <c r="AA181" s="102"/>
      <c r="AB181" s="102"/>
      <c r="AC181" s="102"/>
      <c r="AD181" s="102"/>
      <c r="AE181" s="102"/>
      <c r="AF181" s="102"/>
      <c r="AG181" s="102"/>
      <c r="AH181" s="102"/>
      <c r="AI181" s="102"/>
      <c r="AJ181" s="102"/>
      <c r="AK181" s="102"/>
      <c r="AL181" s="102"/>
      <c r="AM181" s="328"/>
      <c r="AN181" s="328"/>
      <c r="AO181" s="103"/>
      <c r="AP181" s="103"/>
      <c r="AQ181" s="103"/>
    </row>
    <row r="182" s="345" customFormat="true" ht="24" hidden="true" customHeight="true" outlineLevel="0" collapsed="false">
      <c r="A182" s="329" t="s">
        <v>207</v>
      </c>
      <c r="B182" s="329"/>
      <c r="C182" s="330"/>
      <c r="D182" s="331"/>
      <c r="E182" s="331"/>
      <c r="F182" s="332"/>
      <c r="G182" s="333"/>
      <c r="H182" s="334"/>
      <c r="I182" s="335"/>
      <c r="J182" s="336"/>
      <c r="K182" s="337"/>
      <c r="L182" s="338"/>
      <c r="M182" s="336"/>
      <c r="N182" s="334"/>
      <c r="O182" s="339"/>
      <c r="P182" s="333"/>
      <c r="Q182" s="340"/>
      <c r="R182" s="340"/>
      <c r="S182" s="334"/>
      <c r="T182" s="339"/>
      <c r="U182" s="341" t="n">
        <f aca="false">U181</f>
        <v>2006113.79</v>
      </c>
      <c r="V182" s="342" t="n">
        <f aca="false">V181</f>
        <v>24073365.48</v>
      </c>
      <c r="W182" s="343" t="n">
        <f aca="false">U35+U48+U102+U126+U152+U164+U178</f>
        <v>2006113.79</v>
      </c>
      <c r="X182" s="344"/>
      <c r="Y182" s="344"/>
      <c r="Z182" s="344"/>
      <c r="AA182" s="344"/>
      <c r="AB182" s="344"/>
      <c r="AC182" s="344"/>
      <c r="AD182" s="344"/>
      <c r="AE182" s="344"/>
      <c r="AF182" s="344"/>
      <c r="AG182" s="344"/>
      <c r="AH182" s="344"/>
      <c r="AI182" s="344"/>
      <c r="AJ182" s="344"/>
      <c r="AK182" s="344"/>
      <c r="AL182" s="344"/>
    </row>
    <row r="183" s="104" customFormat="true" ht="16.5" hidden="true" customHeight="true" outlineLevel="0" collapsed="false">
      <c r="A183" s="346"/>
      <c r="B183" s="347" t="s">
        <v>208</v>
      </c>
      <c r="C183" s="348" t="n">
        <f aca="false">C133+C124+(C88-1)+(C110-4)+(C117-4)+C119+(C87-1)+C85+C77+C70</f>
        <v>19</v>
      </c>
      <c r="D183" s="349"/>
      <c r="E183" s="349"/>
      <c r="F183" s="349"/>
      <c r="G183" s="350"/>
      <c r="H183" s="351"/>
      <c r="I183" s="352"/>
      <c r="J183" s="348"/>
      <c r="K183" s="353"/>
      <c r="L183" s="354"/>
      <c r="M183" s="348"/>
      <c r="N183" s="349"/>
      <c r="O183" s="353"/>
      <c r="P183" s="355"/>
      <c r="Q183" s="349"/>
      <c r="R183" s="349"/>
      <c r="S183" s="356"/>
      <c r="T183" s="357"/>
      <c r="U183" s="358" t="n">
        <f aca="false">ROUND(U133+U105+(U110/5)+(U117/5)+U119+(U87/2)+U85+(U88/2)+U124+U77,2)</f>
        <v>109180.56</v>
      </c>
      <c r="V183" s="359" t="n">
        <f aca="false">ROUND(V133+V105+(V110/5)+(V117/5)+V119+(V87/2)+V85+(V88/2)+V124+V77,2)</f>
        <v>1310166.68</v>
      </c>
      <c r="W183" s="123" t="n">
        <f aca="false">W119+W117+W110+W87+W85+W88+W124+W133+W70+W77</f>
        <v>975260.881714286</v>
      </c>
      <c r="X183" s="123" t="n">
        <f aca="false">X134+X119+X117+X110+X87+X85+X124+X88+X70+X77</f>
        <v>82019.4401521714</v>
      </c>
      <c r="Y183" s="102"/>
      <c r="Z183" s="102"/>
      <c r="AA183" s="102"/>
      <c r="AB183" s="102"/>
      <c r="AC183" s="102"/>
      <c r="AD183" s="102"/>
      <c r="AE183" s="102"/>
      <c r="AF183" s="102"/>
      <c r="AG183" s="102"/>
      <c r="AH183" s="102"/>
      <c r="AI183" s="102"/>
      <c r="AJ183" s="102"/>
      <c r="AK183" s="102"/>
      <c r="AL183" s="102"/>
      <c r="AM183" s="103"/>
      <c r="AN183" s="103"/>
      <c r="AO183" s="103"/>
      <c r="AP183" s="103"/>
      <c r="AQ183" s="103"/>
    </row>
    <row r="184" s="104" customFormat="true" ht="14.25" hidden="true" customHeight="true" outlineLevel="0" collapsed="false">
      <c r="A184" s="360"/>
      <c r="B184" s="361" t="s">
        <v>209</v>
      </c>
      <c r="C184" s="362" t="n">
        <v>2</v>
      </c>
      <c r="D184" s="363"/>
      <c r="E184" s="363"/>
      <c r="F184" s="363"/>
      <c r="G184" s="364"/>
      <c r="H184" s="365"/>
      <c r="I184" s="366"/>
      <c r="J184" s="362"/>
      <c r="K184" s="367"/>
      <c r="L184" s="368"/>
      <c r="M184" s="362"/>
      <c r="N184" s="363"/>
      <c r="O184" s="367"/>
      <c r="P184" s="369"/>
      <c r="Q184" s="363"/>
      <c r="R184" s="363"/>
      <c r="S184" s="370"/>
      <c r="T184" s="371"/>
      <c r="U184" s="358" t="n">
        <f aca="false">C184*G184</f>
        <v>0</v>
      </c>
      <c r="V184" s="372" t="n">
        <f aca="false">(G184*12)/1000</f>
        <v>0</v>
      </c>
      <c r="W184" s="123" t="e">
        <f aca="false">U20+U22+U23+#REF!+U34+U28+U31+U32+U33+U29+U30+U24+U25+U26+U27+U37+U38+U39+U40+U42+U44+U45+U43+#REF!+U46+U50+#REF!+U51+U54+U55+U56+U57+U69+U70+U72+U76+U77+U79+U83+U85+U89+U86+U90+U88+U87+#REF!+#REF!+#REF!+#REF!+#REF!+#REF!+U94+U96+U97+U104+U105+U106+U107+U110+#REF!+U112+U113+U115+U117+U118+U119+U120+U121+#REF!+U123+U124+U128+U129+U131+#REF!+U133+U134+U135+U137+U138+U139+U140+U141+U142+U143+U144+#REF!+U146+U148+U149+#REF!+U154+U155+U158+U159+U160+U161+U162+U166+#REF!+#REF!+#REF!+U167+U169+U170+#REF!+#REF!+U171+U172+U173+#REF!+U174+U175+U176</f>
        <v>#REF!</v>
      </c>
      <c r="X184" s="102"/>
      <c r="Y184" s="102"/>
      <c r="Z184" s="102"/>
      <c r="AA184" s="102"/>
      <c r="AB184" s="102"/>
      <c r="AC184" s="102"/>
      <c r="AD184" s="102"/>
      <c r="AE184" s="102"/>
      <c r="AF184" s="102"/>
      <c r="AG184" s="102"/>
      <c r="AH184" s="102"/>
      <c r="AI184" s="102"/>
      <c r="AJ184" s="102"/>
      <c r="AK184" s="102"/>
      <c r="AL184" s="102"/>
      <c r="AM184" s="103"/>
      <c r="AN184" s="103"/>
      <c r="AO184" s="103"/>
      <c r="AP184" s="103"/>
      <c r="AQ184" s="103"/>
    </row>
    <row r="185" s="104" customFormat="true" ht="15.75" hidden="true" customHeight="false" outlineLevel="0" collapsed="false">
      <c r="A185" s="373"/>
      <c r="B185" s="374" t="s">
        <v>210</v>
      </c>
      <c r="C185" s="375"/>
      <c r="D185" s="127"/>
      <c r="E185" s="127"/>
      <c r="F185" s="127"/>
      <c r="G185" s="128"/>
      <c r="H185" s="376"/>
      <c r="I185" s="352"/>
      <c r="J185" s="375"/>
      <c r="K185" s="377"/>
      <c r="L185" s="378"/>
      <c r="M185" s="375"/>
      <c r="N185" s="127"/>
      <c r="O185" s="377"/>
      <c r="P185" s="379"/>
      <c r="Q185" s="127"/>
      <c r="R185" s="127"/>
      <c r="S185" s="380"/>
      <c r="T185" s="381"/>
      <c r="U185" s="352" t="n">
        <f aca="false">U186+U187+U188</f>
        <v>426507.395696</v>
      </c>
      <c r="V185" s="382" t="n">
        <f aca="false">V186+V187+V188</f>
        <v>5118088.753788</v>
      </c>
      <c r="W185" s="123"/>
      <c r="X185" s="102"/>
      <c r="Y185" s="102"/>
      <c r="Z185" s="102"/>
      <c r="AA185" s="102"/>
      <c r="AB185" s="102"/>
      <c r="AC185" s="102"/>
      <c r="AD185" s="102"/>
      <c r="AE185" s="102"/>
      <c r="AF185" s="102"/>
      <c r="AG185" s="102"/>
      <c r="AH185" s="102"/>
      <c r="AI185" s="102"/>
      <c r="AJ185" s="102"/>
      <c r="AK185" s="102"/>
      <c r="AL185" s="102"/>
      <c r="AM185" s="103"/>
      <c r="AN185" s="103"/>
      <c r="AO185" s="103"/>
      <c r="AP185" s="103"/>
      <c r="AQ185" s="103"/>
    </row>
    <row r="186" s="104" customFormat="true" ht="17.25" hidden="true" customHeight="true" outlineLevel="0" collapsed="false">
      <c r="A186" s="383"/>
      <c r="B186" s="384" t="s">
        <v>211</v>
      </c>
      <c r="C186" s="385"/>
      <c r="D186" s="386"/>
      <c r="E186" s="386"/>
      <c r="F186" s="386"/>
      <c r="G186" s="387"/>
      <c r="H186" s="388"/>
      <c r="I186" s="389"/>
      <c r="J186" s="385"/>
      <c r="K186" s="390"/>
      <c r="L186" s="391"/>
      <c r="M186" s="385"/>
      <c r="N186" s="386"/>
      <c r="O186" s="390"/>
      <c r="P186" s="392"/>
      <c r="Q186" s="386"/>
      <c r="R186" s="386"/>
      <c r="S186" s="393"/>
      <c r="T186" s="394"/>
      <c r="U186" s="389" t="n">
        <f aca="false">(U181-U183)*22%</f>
        <v>417325.3106</v>
      </c>
      <c r="V186" s="395" t="n">
        <f aca="false">(V181-V183)*22%</f>
        <v>5007903.736</v>
      </c>
      <c r="W186" s="123"/>
      <c r="X186" s="102"/>
      <c r="Y186" s="102"/>
      <c r="Z186" s="102"/>
      <c r="AA186" s="102"/>
      <c r="AB186" s="102"/>
      <c r="AC186" s="102"/>
      <c r="AD186" s="102"/>
      <c r="AE186" s="102"/>
      <c r="AF186" s="102"/>
      <c r="AG186" s="102"/>
      <c r="AH186" s="102"/>
      <c r="AI186" s="102"/>
      <c r="AJ186" s="102"/>
      <c r="AK186" s="102"/>
      <c r="AL186" s="102"/>
      <c r="AM186" s="103"/>
      <c r="AN186" s="103"/>
      <c r="AO186" s="103"/>
      <c r="AP186" s="103"/>
      <c r="AQ186" s="103"/>
    </row>
    <row r="187" s="104" customFormat="true" ht="15.75" hidden="true" customHeight="false" outlineLevel="0" collapsed="false">
      <c r="A187" s="396"/>
      <c r="B187" s="397" t="s">
        <v>212</v>
      </c>
      <c r="C187" s="398"/>
      <c r="D187" s="399"/>
      <c r="E187" s="399"/>
      <c r="F187" s="399"/>
      <c r="G187" s="400"/>
      <c r="H187" s="401"/>
      <c r="I187" s="402"/>
      <c r="J187" s="398"/>
      <c r="K187" s="403"/>
      <c r="L187" s="404"/>
      <c r="M187" s="398"/>
      <c r="N187" s="399"/>
      <c r="O187" s="403"/>
      <c r="P187" s="405"/>
      <c r="Q187" s="399"/>
      <c r="R187" s="399"/>
      <c r="S187" s="406"/>
      <c r="T187" s="407"/>
      <c r="U187" s="402" t="n">
        <f aca="false">U183*8.41%</f>
        <v>9182.085096</v>
      </c>
      <c r="V187" s="408" t="n">
        <f aca="false">V183*8.41%</f>
        <v>110185.017788</v>
      </c>
      <c r="W187" s="123"/>
      <c r="X187" s="102"/>
      <c r="Y187" s="102"/>
      <c r="Z187" s="102"/>
      <c r="AA187" s="102"/>
      <c r="AB187" s="102"/>
      <c r="AC187" s="102"/>
      <c r="AD187" s="102"/>
      <c r="AE187" s="102"/>
      <c r="AF187" s="102"/>
      <c r="AG187" s="102"/>
      <c r="AH187" s="102"/>
      <c r="AI187" s="102"/>
      <c r="AJ187" s="102"/>
      <c r="AK187" s="102"/>
      <c r="AL187" s="102"/>
      <c r="AM187" s="103"/>
      <c r="AN187" s="103"/>
      <c r="AO187" s="103"/>
      <c r="AP187" s="103"/>
      <c r="AQ187" s="103"/>
    </row>
    <row r="188" s="104" customFormat="true" ht="15" hidden="true" customHeight="true" outlineLevel="0" collapsed="false">
      <c r="A188" s="409"/>
      <c r="B188" s="410" t="s">
        <v>213</v>
      </c>
      <c r="C188" s="411"/>
      <c r="D188" s="412"/>
      <c r="E188" s="412"/>
      <c r="F188" s="412"/>
      <c r="G188" s="413"/>
      <c r="H188" s="414"/>
      <c r="I188" s="415"/>
      <c r="J188" s="411"/>
      <c r="K188" s="416"/>
      <c r="L188" s="417"/>
      <c r="M188" s="411"/>
      <c r="N188" s="412"/>
      <c r="O188" s="416"/>
      <c r="P188" s="418"/>
      <c r="Q188" s="412"/>
      <c r="R188" s="412"/>
      <c r="S188" s="419"/>
      <c r="T188" s="420"/>
      <c r="U188" s="415" t="n">
        <f aca="false">(U184*22%)</f>
        <v>0</v>
      </c>
      <c r="V188" s="335" t="n">
        <f aca="false">(V184*22%)</f>
        <v>0</v>
      </c>
      <c r="W188" s="123"/>
      <c r="X188" s="102"/>
      <c r="Y188" s="102"/>
      <c r="Z188" s="102"/>
      <c r="AA188" s="102"/>
      <c r="AB188" s="102"/>
      <c r="AC188" s="102"/>
      <c r="AD188" s="102"/>
      <c r="AE188" s="102"/>
      <c r="AF188" s="102"/>
      <c r="AG188" s="102"/>
      <c r="AH188" s="102"/>
      <c r="AI188" s="102"/>
      <c r="AJ188" s="102"/>
      <c r="AK188" s="102"/>
      <c r="AL188" s="102"/>
      <c r="AM188" s="103"/>
      <c r="AN188" s="103"/>
      <c r="AO188" s="103"/>
      <c r="AP188" s="103"/>
      <c r="AQ188" s="103"/>
    </row>
    <row r="189" s="104" customFormat="true" ht="16.5" hidden="true" customHeight="false" outlineLevel="0" collapsed="false">
      <c r="A189" s="421"/>
      <c r="B189" s="422" t="s">
        <v>214</v>
      </c>
      <c r="C189" s="423"/>
      <c r="D189" s="424"/>
      <c r="E189" s="424"/>
      <c r="F189" s="424"/>
      <c r="G189" s="425"/>
      <c r="H189" s="426"/>
      <c r="I189" s="427"/>
      <c r="J189" s="423"/>
      <c r="K189" s="428"/>
      <c r="L189" s="429"/>
      <c r="M189" s="423"/>
      <c r="N189" s="424"/>
      <c r="O189" s="428"/>
      <c r="P189" s="430"/>
      <c r="Q189" s="424"/>
      <c r="R189" s="424"/>
      <c r="S189" s="431"/>
      <c r="T189" s="432"/>
      <c r="U189" s="427" t="n">
        <f aca="false">U181+U185+U188</f>
        <v>2432621.185696</v>
      </c>
      <c r="V189" s="433" t="n">
        <f aca="false">(V181+V184+V185)</f>
        <v>29191454.233788</v>
      </c>
      <c r="W189" s="434"/>
      <c r="X189" s="102"/>
      <c r="Y189" s="102"/>
      <c r="Z189" s="102"/>
      <c r="AA189" s="102"/>
      <c r="AB189" s="102"/>
      <c r="AC189" s="102"/>
      <c r="AD189" s="102"/>
      <c r="AE189" s="102"/>
      <c r="AF189" s="102"/>
      <c r="AG189" s="102"/>
      <c r="AH189" s="102"/>
      <c r="AI189" s="102"/>
      <c r="AJ189" s="102"/>
      <c r="AK189" s="102"/>
      <c r="AL189" s="102"/>
      <c r="AM189" s="103"/>
      <c r="AN189" s="103"/>
      <c r="AO189" s="103"/>
      <c r="AP189" s="103"/>
      <c r="AQ189" s="103"/>
    </row>
    <row r="190" s="104" customFormat="true" ht="18" hidden="false" customHeight="true" outlineLevel="0" collapsed="false">
      <c r="A190" s="435"/>
      <c r="B190" s="436" t="s">
        <v>3</v>
      </c>
      <c r="C190" s="437"/>
      <c r="D190" s="437"/>
      <c r="E190" s="437"/>
      <c r="F190" s="437"/>
      <c r="G190" s="438"/>
      <c r="H190" s="438"/>
      <c r="I190" s="438"/>
      <c r="J190" s="437"/>
      <c r="K190" s="437"/>
      <c r="L190" s="437"/>
      <c r="M190" s="437"/>
      <c r="N190" s="437"/>
      <c r="O190" s="437"/>
      <c r="P190" s="437"/>
      <c r="Q190" s="437"/>
      <c r="R190" s="437"/>
      <c r="S190" s="437"/>
      <c r="T190" s="437"/>
      <c r="U190" s="438"/>
      <c r="V190" s="439"/>
      <c r="W190" s="434"/>
      <c r="X190" s="102"/>
      <c r="Y190" s="102"/>
      <c r="Z190" s="102"/>
      <c r="AA190" s="102"/>
      <c r="AB190" s="102"/>
      <c r="AC190" s="102"/>
      <c r="AD190" s="102"/>
      <c r="AE190" s="102"/>
      <c r="AF190" s="102"/>
      <c r="AG190" s="102"/>
      <c r="AH190" s="102"/>
      <c r="AI190" s="102"/>
      <c r="AJ190" s="102"/>
      <c r="AK190" s="102"/>
      <c r="AL190" s="102"/>
      <c r="AM190" s="103"/>
      <c r="AN190" s="103"/>
      <c r="AO190" s="103"/>
      <c r="AP190" s="103"/>
      <c r="AQ190" s="103"/>
    </row>
    <row r="191" s="155" customFormat="true" ht="15.75" hidden="false" customHeight="true" outlineLevel="0" collapsed="false">
      <c r="A191" s="32"/>
      <c r="B191" s="440" t="s">
        <v>67</v>
      </c>
      <c r="C191" s="440"/>
      <c r="D191" s="440"/>
      <c r="E191" s="440"/>
      <c r="F191" s="440"/>
      <c r="G191" s="441"/>
      <c r="H191" s="441"/>
      <c r="I191" s="442"/>
      <c r="J191" s="443"/>
      <c r="K191" s="443"/>
      <c r="L191" s="443" t="s">
        <v>215</v>
      </c>
      <c r="M191" s="443"/>
      <c r="N191" s="443" t="s">
        <v>215</v>
      </c>
      <c r="O191" s="443"/>
      <c r="P191" s="443"/>
      <c r="Q191" s="23"/>
      <c r="R191" s="23"/>
      <c r="S191" s="23"/>
      <c r="T191" s="23"/>
      <c r="U191" s="444"/>
      <c r="V191" s="445"/>
      <c r="W191" s="446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/>
      <c r="AH191" s="153"/>
      <c r="AI191" s="153"/>
      <c r="AJ191" s="153"/>
      <c r="AK191" s="153"/>
      <c r="AL191" s="153"/>
      <c r="AM191" s="154"/>
      <c r="AN191" s="154"/>
      <c r="AO191" s="154"/>
      <c r="AP191" s="154"/>
      <c r="AQ191" s="154"/>
    </row>
    <row r="192" s="155" customFormat="true" ht="3" hidden="false" customHeight="true" outlineLevel="0" collapsed="false">
      <c r="A192" s="32"/>
      <c r="B192" s="447"/>
      <c r="C192" s="448"/>
      <c r="D192" s="448"/>
      <c r="E192" s="448"/>
      <c r="F192" s="448"/>
      <c r="G192" s="441"/>
      <c r="H192" s="441"/>
      <c r="I192" s="442"/>
      <c r="J192" s="443"/>
      <c r="K192" s="443"/>
      <c r="L192" s="443"/>
      <c r="M192" s="443"/>
      <c r="N192" s="443"/>
      <c r="O192" s="443"/>
      <c r="P192" s="443"/>
      <c r="Q192" s="23"/>
      <c r="R192" s="23"/>
      <c r="S192" s="23"/>
      <c r="T192" s="23"/>
      <c r="U192" s="444"/>
      <c r="V192" s="445"/>
      <c r="W192" s="446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/>
      <c r="AH192" s="153"/>
      <c r="AI192" s="153"/>
      <c r="AJ192" s="153"/>
      <c r="AK192" s="153"/>
      <c r="AL192" s="153"/>
      <c r="AM192" s="154"/>
      <c r="AN192" s="154"/>
      <c r="AO192" s="154"/>
      <c r="AP192" s="154"/>
      <c r="AQ192" s="154"/>
    </row>
    <row r="193" s="155" customFormat="true" ht="26.25" hidden="false" customHeight="true" outlineLevel="0" collapsed="false">
      <c r="A193" s="32"/>
      <c r="B193" s="440" t="s">
        <v>216</v>
      </c>
      <c r="C193" s="440"/>
      <c r="D193" s="440"/>
      <c r="E193" s="440"/>
      <c r="F193" s="440"/>
      <c r="G193" s="441"/>
      <c r="H193" s="441"/>
      <c r="I193" s="442"/>
      <c r="J193" s="443"/>
      <c r="K193" s="443"/>
      <c r="L193" s="443" t="s">
        <v>217</v>
      </c>
      <c r="M193" s="443"/>
      <c r="N193" s="443"/>
      <c r="O193" s="443"/>
      <c r="P193" s="443"/>
      <c r="Q193" s="23"/>
      <c r="R193" s="23"/>
      <c r="S193" s="23"/>
      <c r="T193" s="23"/>
      <c r="U193" s="444"/>
      <c r="V193" s="445"/>
      <c r="W193" s="446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/>
      <c r="AH193" s="153"/>
      <c r="AI193" s="153"/>
      <c r="AJ193" s="153"/>
      <c r="AK193" s="153"/>
      <c r="AL193" s="153"/>
      <c r="AM193" s="154"/>
      <c r="AN193" s="154"/>
      <c r="AO193" s="154"/>
      <c r="AP193" s="154"/>
      <c r="AQ193" s="154"/>
    </row>
    <row r="194" s="155" customFormat="true" ht="6" hidden="false" customHeight="true" outlineLevel="0" collapsed="false">
      <c r="A194" s="32"/>
      <c r="B194" s="447"/>
      <c r="C194" s="448"/>
      <c r="D194" s="448"/>
      <c r="E194" s="448"/>
      <c r="F194" s="448"/>
      <c r="G194" s="441"/>
      <c r="H194" s="441"/>
      <c r="I194" s="442"/>
      <c r="J194" s="443"/>
      <c r="K194" s="443"/>
      <c r="L194" s="443"/>
      <c r="M194" s="443"/>
      <c r="N194" s="443"/>
      <c r="O194" s="443"/>
      <c r="P194" s="443"/>
      <c r="Q194" s="23"/>
      <c r="R194" s="23"/>
      <c r="S194" s="23"/>
      <c r="T194" s="23"/>
      <c r="U194" s="444"/>
      <c r="V194" s="445"/>
      <c r="W194" s="446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/>
      <c r="AH194" s="153"/>
      <c r="AI194" s="153"/>
      <c r="AJ194" s="153"/>
      <c r="AK194" s="153"/>
      <c r="AL194" s="153"/>
      <c r="AM194" s="154"/>
      <c r="AN194" s="154"/>
      <c r="AO194" s="154"/>
      <c r="AP194" s="154"/>
      <c r="AQ194" s="154"/>
    </row>
    <row r="195" s="155" customFormat="true" ht="15" hidden="false" customHeight="true" outlineLevel="0" collapsed="false">
      <c r="A195" s="32"/>
      <c r="B195" s="440" t="s">
        <v>218</v>
      </c>
      <c r="C195" s="440"/>
      <c r="D195" s="440"/>
      <c r="E195" s="440"/>
      <c r="F195" s="440"/>
      <c r="G195" s="441"/>
      <c r="H195" s="441"/>
      <c r="I195" s="442"/>
      <c r="J195" s="443"/>
      <c r="K195" s="443"/>
      <c r="L195" s="443" t="s">
        <v>219</v>
      </c>
      <c r="M195" s="443"/>
      <c r="N195" s="443" t="s">
        <v>219</v>
      </c>
      <c r="O195" s="443"/>
      <c r="P195" s="443"/>
      <c r="Q195" s="23"/>
      <c r="R195" s="23"/>
      <c r="S195" s="23"/>
      <c r="T195" s="23"/>
      <c r="U195" s="444"/>
      <c r="V195" s="445"/>
      <c r="W195" s="446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/>
      <c r="AH195" s="153"/>
      <c r="AI195" s="153"/>
      <c r="AJ195" s="153"/>
      <c r="AK195" s="153"/>
      <c r="AL195" s="153"/>
      <c r="AM195" s="154"/>
      <c r="AN195" s="154"/>
      <c r="AO195" s="154"/>
      <c r="AP195" s="154"/>
      <c r="AQ195" s="154"/>
    </row>
    <row r="196" s="455" customFormat="true" ht="15" hidden="false" customHeight="true" outlineLevel="0" collapsed="false">
      <c r="A196" s="435"/>
      <c r="B196" s="440" t="s">
        <v>220</v>
      </c>
      <c r="C196" s="440"/>
      <c r="D196" s="440"/>
      <c r="E196" s="440"/>
      <c r="F196" s="440"/>
      <c r="G196" s="449"/>
      <c r="H196" s="449"/>
      <c r="I196" s="450"/>
      <c r="J196" s="451"/>
      <c r="K196" s="451"/>
      <c r="L196" s="451"/>
      <c r="M196" s="451"/>
      <c r="N196" s="451"/>
      <c r="O196" s="451"/>
      <c r="P196" s="451"/>
      <c r="Q196" s="452"/>
      <c r="R196" s="437"/>
      <c r="S196" s="437"/>
      <c r="T196" s="437"/>
      <c r="U196" s="438"/>
      <c r="V196" s="439"/>
      <c r="W196" s="453"/>
      <c r="X196" s="454"/>
      <c r="Y196" s="454"/>
      <c r="Z196" s="454"/>
      <c r="AA196" s="454"/>
      <c r="AB196" s="454"/>
      <c r="AC196" s="454"/>
      <c r="AD196" s="454"/>
      <c r="AE196" s="454"/>
      <c r="AF196" s="454"/>
      <c r="AG196" s="454"/>
      <c r="AH196" s="454"/>
      <c r="AI196" s="454"/>
      <c r="AJ196" s="454"/>
      <c r="AK196" s="454"/>
      <c r="AL196" s="454"/>
      <c r="AM196" s="454"/>
      <c r="AN196" s="454"/>
      <c r="AO196" s="454"/>
      <c r="AP196" s="454"/>
      <c r="AQ196" s="454"/>
    </row>
    <row r="197" s="457" customFormat="true" ht="15" hidden="false" customHeight="true" outlineLevel="0" collapsed="false">
      <c r="A197" s="28"/>
      <c r="B197" s="440" t="s">
        <v>221</v>
      </c>
      <c r="C197" s="440"/>
      <c r="D197" s="440"/>
      <c r="E197" s="440"/>
      <c r="F197" s="440"/>
      <c r="G197" s="456"/>
      <c r="H197" s="456"/>
      <c r="J197" s="458"/>
      <c r="K197" s="458"/>
      <c r="L197" s="458" t="s">
        <v>222</v>
      </c>
      <c r="M197" s="458"/>
      <c r="N197" s="458" t="s">
        <v>223</v>
      </c>
      <c r="O197" s="458"/>
      <c r="P197" s="459"/>
      <c r="Q197" s="460"/>
      <c r="R197" s="445"/>
      <c r="S197" s="445"/>
      <c r="T197" s="445"/>
      <c r="U197" s="461"/>
      <c r="V197" s="461"/>
      <c r="W197" s="456"/>
    </row>
    <row r="198" s="469" customFormat="true" ht="12.75" hidden="false" customHeight="false" outlineLevel="0" collapsed="false">
      <c r="A198" s="462"/>
      <c r="B198" s="46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464"/>
      <c r="S198" s="464"/>
      <c r="T198" s="464"/>
      <c r="U198" s="465"/>
      <c r="V198" s="466"/>
      <c r="W198" s="467"/>
      <c r="X198" s="468"/>
      <c r="Y198" s="468"/>
      <c r="Z198" s="468"/>
      <c r="AA198" s="468"/>
      <c r="AB198" s="468"/>
      <c r="AC198" s="468"/>
      <c r="AD198" s="468"/>
      <c r="AE198" s="468"/>
      <c r="AF198" s="468"/>
      <c r="AG198" s="468"/>
      <c r="AH198" s="468"/>
      <c r="AI198" s="468"/>
      <c r="AJ198" s="468"/>
      <c r="AK198" s="468"/>
      <c r="AL198" s="468"/>
      <c r="AM198" s="468"/>
      <c r="AN198" s="468"/>
      <c r="AO198" s="468"/>
      <c r="AP198" s="468"/>
      <c r="AQ198" s="468"/>
    </row>
    <row r="199" customFormat="false" ht="16.5" hidden="false" customHeight="true" outlineLevel="0" collapsed="false">
      <c r="S199" s="470"/>
      <c r="T199" s="470"/>
      <c r="U199" s="470"/>
      <c r="V199" s="471"/>
      <c r="AI199" s="64"/>
      <c r="AJ199" s="64"/>
      <c r="AK199" s="64"/>
      <c r="AL199" s="110"/>
      <c r="AM199" s="472"/>
      <c r="AN199" s="473"/>
    </row>
  </sheetData>
  <mergeCells count="84">
    <mergeCell ref="W11:AE11"/>
    <mergeCell ref="G14:K14"/>
    <mergeCell ref="G15:K15"/>
    <mergeCell ref="G16:Q16"/>
    <mergeCell ref="W16:W18"/>
    <mergeCell ref="X16:AC16"/>
    <mergeCell ref="AD16:AI16"/>
    <mergeCell ref="A17:A18"/>
    <mergeCell ref="B17:B18"/>
    <mergeCell ref="C17:C18"/>
    <mergeCell ref="D17:D18"/>
    <mergeCell ref="E17:F17"/>
    <mergeCell ref="G17:G18"/>
    <mergeCell ref="H17:H18"/>
    <mergeCell ref="I17:I18"/>
    <mergeCell ref="J17:K17"/>
    <mergeCell ref="L17:M17"/>
    <mergeCell ref="P17:S17"/>
    <mergeCell ref="T17:T18"/>
    <mergeCell ref="U17:U18"/>
    <mergeCell ref="X18:AC18"/>
    <mergeCell ref="AD18:AI18"/>
    <mergeCell ref="A19:V19"/>
    <mergeCell ref="W19:W34"/>
    <mergeCell ref="X19:X23"/>
    <mergeCell ref="Y19:Y23"/>
    <mergeCell ref="Z19:Z23"/>
    <mergeCell ref="AA19:AA23"/>
    <mergeCell ref="AB19:AB23"/>
    <mergeCell ref="AC19:AC23"/>
    <mergeCell ref="AD19:AD23"/>
    <mergeCell ref="AE19:AE23"/>
    <mergeCell ref="AF19:AF23"/>
    <mergeCell ref="AG19:AG23"/>
    <mergeCell ref="AH19:AH23"/>
    <mergeCell ref="AI19:AI23"/>
    <mergeCell ref="D20:E20"/>
    <mergeCell ref="X24:AC24"/>
    <mergeCell ref="AD24:AI24"/>
    <mergeCell ref="A35:B35"/>
    <mergeCell ref="X35:AH35"/>
    <mergeCell ref="W37:AF37"/>
    <mergeCell ref="A41:B41"/>
    <mergeCell ref="A52:B52"/>
    <mergeCell ref="A58:B58"/>
    <mergeCell ref="A63:B63"/>
    <mergeCell ref="A64:B64"/>
    <mergeCell ref="A71:B71"/>
    <mergeCell ref="A74:B74"/>
    <mergeCell ref="A78:B78"/>
    <mergeCell ref="A80:B80"/>
    <mergeCell ref="A81:B81"/>
    <mergeCell ref="A84:B84"/>
    <mergeCell ref="A91:B91"/>
    <mergeCell ref="A92:B92"/>
    <mergeCell ref="A95:B95"/>
    <mergeCell ref="A99:B99"/>
    <mergeCell ref="A100:B100"/>
    <mergeCell ref="A101:B101"/>
    <mergeCell ref="A102:B102"/>
    <mergeCell ref="A108:B108"/>
    <mergeCell ref="A125:B125"/>
    <mergeCell ref="A126:B126"/>
    <mergeCell ref="A150:B150"/>
    <mergeCell ref="A151:B151"/>
    <mergeCell ref="A152:B152"/>
    <mergeCell ref="A153:V153"/>
    <mergeCell ref="A156:B156"/>
    <mergeCell ref="A157:V157"/>
    <mergeCell ref="A163:B163"/>
    <mergeCell ref="A164:B164"/>
    <mergeCell ref="A165:V165"/>
    <mergeCell ref="A168:B168"/>
    <mergeCell ref="A177:B177"/>
    <mergeCell ref="A178:B178"/>
    <mergeCell ref="A179:B179"/>
    <mergeCell ref="A180:B180"/>
    <mergeCell ref="A181:B181"/>
    <mergeCell ref="A182:B182"/>
    <mergeCell ref="B191:F191"/>
    <mergeCell ref="B193:F193"/>
    <mergeCell ref="B195:F195"/>
    <mergeCell ref="B196:F196"/>
    <mergeCell ref="B197:F197"/>
  </mergeCells>
  <printOptions headings="false" gridLines="false" gridLinesSet="true" horizontalCentered="false" verticalCentered="false"/>
  <pageMargins left="1.18125" right="0.39375" top="0.7875" bottom="0.7875" header="0.511811023622047" footer="0.511811023622047"/>
  <pageSetup paperSize="9" scale="5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63" man="true" max="16383" min="0"/>
    <brk id="126" man="true" max="16383" min="0"/>
  </rowBreaks>
  <colBreaks count="1" manualBreakCount="1">
    <brk id="22" man="true" max="65535" min="0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1" activeCellId="0" sqref="A1"/>
    </sheetView>
  </sheetViews>
  <sheetFormatPr defaultColWidth="9.1484375" defaultRowHeight="15" zeroHeight="false" outlineLevelRow="0" outlineLevelCol="0"/>
  <sheetData/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2021-12-29T11:37:00Z</dcterms:created>
  <dc:creator/>
  <dc:description/>
  <dc:language>uk-UA</dc:language>
  <cp:lastModifiedBy/>
  <cp:lastPrinted>2025-12-26T12:53:21Z</cp:lastPrinted>
  <dcterms:modified xsi:type="dcterms:W3CDTF">2025-12-29T09:38:09Z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37601008A3C642ED80E5B624227AF647_13</vt:lpwstr>
  </property>
  <property fmtid="{D5CDD505-2E9C-101B-9397-08002B2CF9AE}" pid="3" name="KSOProductBuildVer">
    <vt:lpwstr>1049-12.2.0.23155</vt:lpwstr>
  </property>
</Properties>
</file>